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mP8rD1osFfE7MLBAYYYSDwziYMAMMuGSJ8FifcGseJwX4GGqKNya7MW4w1g+MoKBp7FcGeW+RtPkJlMwKbs1rA==" workbookSaltValue="ve/PMcp55IgEHp+mNV03xQ==" workbookSpinCount="100000" lockStructure="1"/>
  <bookViews>
    <workbookView xWindow="0" yWindow="0" windowWidth="28800" windowHeight="14040" firstSheet="3" activeTab="3"/>
  </bookViews>
  <sheets>
    <sheet name="測定データ" sheetId="52220" state="hidden" r:id="rId1"/>
    <sheet name="一覧表" sheetId="52222" state="hidden" r:id="rId2"/>
    <sheet name="サイズ毎" sheetId="52223" state="hidden" r:id="rId3"/>
    <sheet name="PQ-SV056 内窓ブレス" sheetId="52224" r:id="rId4"/>
    <sheet name="一覧表 (客先提出用)" sheetId="52225" state="hidden" r:id="rId5"/>
  </sheets>
  <definedNames>
    <definedName name="_xlnm.Print_Area" localSheetId="3">'PQ-SV056 内窓ブレス'!$A$1:$H$26</definedName>
    <definedName name="_xlnm.Print_Area" localSheetId="2">サイズ毎!$A$1:$H$19</definedName>
    <definedName name="_xlnm.Print_Area" localSheetId="1">一覧表!$A$1:$L$23</definedName>
    <definedName name="_xlnm.Print_Area" localSheetId="4">'一覧表 (客先提出用)'!$A$1:$L$28</definedName>
  </definedNames>
  <calcPr calcId="162913"/>
</workbook>
</file>

<file path=xl/calcChain.xml><?xml version="1.0" encoding="utf-8"?>
<calcChain xmlns="http://schemas.openxmlformats.org/spreadsheetml/2006/main">
  <c r="D9" i="52223" l="1"/>
  <c r="D10" i="52223" s="1"/>
  <c r="D15" i="52220"/>
  <c r="J1" i="52225"/>
  <c r="J4" i="52225"/>
  <c r="B9" i="52225"/>
  <c r="C9" i="52225"/>
  <c r="D9" i="52225"/>
  <c r="G9" i="52225" s="1"/>
  <c r="I9" i="52225" s="1"/>
  <c r="B10" i="52225"/>
  <c r="C10" i="52225"/>
  <c r="D10" i="52225"/>
  <c r="G10" i="52225" s="1"/>
  <c r="I10" i="52225" s="1"/>
  <c r="B11" i="52225"/>
  <c r="C11" i="52225"/>
  <c r="D11" i="52225"/>
  <c r="G11" i="52225" s="1"/>
  <c r="I11" i="52225" s="1"/>
  <c r="B12" i="52225"/>
  <c r="C12" i="52225"/>
  <c r="D12" i="52225"/>
  <c r="G12" i="52225"/>
  <c r="I12" i="52225" s="1"/>
  <c r="B13" i="52225"/>
  <c r="C13" i="52225"/>
  <c r="D13" i="52225"/>
  <c r="G13" i="52225" s="1"/>
  <c r="I13" i="52225" s="1"/>
  <c r="B14" i="52225"/>
  <c r="C14" i="52225"/>
  <c r="D14" i="52225"/>
  <c r="G14" i="52225"/>
  <c r="I14" i="52225" s="1"/>
  <c r="B15" i="52225"/>
  <c r="C15" i="52225"/>
  <c r="D15" i="52225"/>
  <c r="G15" i="52225"/>
  <c r="I15" i="52225" s="1"/>
  <c r="B16" i="52225"/>
  <c r="C16" i="52225"/>
  <c r="D16" i="52225"/>
  <c r="G16" i="52225"/>
  <c r="I16" i="52225" s="1"/>
  <c r="B17" i="52225"/>
  <c r="C17" i="52225"/>
  <c r="D17" i="52225"/>
  <c r="G17" i="52225" s="1"/>
  <c r="I17" i="52225" s="1"/>
  <c r="B18" i="52225"/>
  <c r="C18" i="52225"/>
  <c r="D18" i="52225"/>
  <c r="G18" i="52225" s="1"/>
  <c r="I18" i="52225" s="1"/>
  <c r="B19" i="52225"/>
  <c r="C19" i="52225"/>
  <c r="D19" i="52225"/>
  <c r="G19" i="52225" s="1"/>
  <c r="I19" i="52225" s="1"/>
  <c r="B20" i="52225"/>
  <c r="C20" i="52225"/>
  <c r="D20" i="52225"/>
  <c r="G20" i="52225" s="1"/>
  <c r="I20" i="52225" s="1"/>
  <c r="B21" i="52225"/>
  <c r="C21" i="52225"/>
  <c r="D21" i="52225"/>
  <c r="G21" i="52225" s="1"/>
  <c r="I21" i="52225" s="1"/>
  <c r="B22" i="52225"/>
  <c r="C22" i="52225"/>
  <c r="D22" i="52225"/>
  <c r="G22" i="52225" s="1"/>
  <c r="I22" i="52225" s="1"/>
  <c r="B23" i="52225"/>
  <c r="C23" i="52225"/>
  <c r="D23" i="52225"/>
  <c r="G23" i="52225" s="1"/>
  <c r="I23" i="52225" s="1"/>
  <c r="B24" i="52225"/>
  <c r="C24" i="52225"/>
  <c r="D24" i="52225"/>
  <c r="G24" i="52225"/>
  <c r="I24" i="52225" s="1"/>
  <c r="B25" i="52225"/>
  <c r="C25" i="52225"/>
  <c r="D25" i="52225"/>
  <c r="G25" i="52225" s="1"/>
  <c r="I25" i="52225" s="1"/>
  <c r="B26" i="52225"/>
  <c r="C26" i="52225"/>
  <c r="D26" i="52225"/>
  <c r="G26" i="52225" s="1"/>
  <c r="I26" i="52225" s="1"/>
  <c r="B27" i="52222"/>
  <c r="C27" i="52222"/>
  <c r="D27" i="52222"/>
  <c r="G27" i="52222" s="1"/>
  <c r="I27" i="52222" s="1"/>
  <c r="B42" i="52220"/>
  <c r="D42" i="52220" s="1"/>
  <c r="I14" i="52220"/>
  <c r="E17" i="52220"/>
  <c r="D17" i="52220"/>
  <c r="E16" i="52220"/>
  <c r="D16" i="52220"/>
  <c r="E15" i="52220"/>
  <c r="E27" i="52220"/>
  <c r="F11" i="52225" s="1"/>
  <c r="L11" i="52225" s="1"/>
  <c r="B41" i="52220"/>
  <c r="D41" i="52220" s="1"/>
  <c r="B40" i="52220"/>
  <c r="E40" i="52220"/>
  <c r="F25" i="52222" s="1"/>
  <c r="L25" i="52222" s="1"/>
  <c r="B39" i="52220"/>
  <c r="E39" i="52220" s="1"/>
  <c r="B38" i="52220"/>
  <c r="E38" i="52220" s="1"/>
  <c r="B37" i="52220"/>
  <c r="D37" i="52220" s="1"/>
  <c r="E21" i="52225" s="1"/>
  <c r="B36" i="52220"/>
  <c r="E36" i="52220" s="1"/>
  <c r="B35" i="52220"/>
  <c r="E35" i="52220" s="1"/>
  <c r="B34" i="52220"/>
  <c r="D34" i="52220" s="1"/>
  <c r="B33" i="52220"/>
  <c r="E33" i="52220" s="1"/>
  <c r="B32" i="52220"/>
  <c r="E32" i="52220" s="1"/>
  <c r="B31" i="52220"/>
  <c r="E31" i="52220" s="1"/>
  <c r="B30" i="52220"/>
  <c r="D30" i="52220" s="1"/>
  <c r="E30" i="52220"/>
  <c r="F14" i="52225" s="1"/>
  <c r="L14" i="52225" s="1"/>
  <c r="B29" i="52220"/>
  <c r="D29" i="52220" s="1"/>
  <c r="B28" i="52220"/>
  <c r="E28" i="52220"/>
  <c r="B27" i="52220"/>
  <c r="D27" i="52220" s="1"/>
  <c r="B26" i="52220"/>
  <c r="D26" i="52220" s="1"/>
  <c r="D28" i="52220"/>
  <c r="E12" i="52225" s="1"/>
  <c r="D35" i="52220"/>
  <c r="E19" i="52225" s="1"/>
  <c r="D36" i="52220"/>
  <c r="H36" i="52220" s="1"/>
  <c r="E20" i="52225"/>
  <c r="J20" i="52225" s="1"/>
  <c r="D40" i="52220"/>
  <c r="E25" i="52222" s="1"/>
  <c r="J25" i="52222" s="1"/>
  <c r="H40" i="52220"/>
  <c r="B22" i="52222"/>
  <c r="C22" i="52222"/>
  <c r="D22" i="52222"/>
  <c r="G22" i="52222" s="1"/>
  <c r="I22" i="52222" s="1"/>
  <c r="B23" i="52222"/>
  <c r="C23" i="52222"/>
  <c r="D23" i="52222"/>
  <c r="G23" i="52222" s="1"/>
  <c r="I23" i="52222" s="1"/>
  <c r="B24" i="52222"/>
  <c r="C24" i="52222"/>
  <c r="D24" i="52222"/>
  <c r="G24" i="52222" s="1"/>
  <c r="I24" i="52222" s="1"/>
  <c r="B25" i="52222"/>
  <c r="C25" i="52222"/>
  <c r="D25" i="52222"/>
  <c r="G25" i="52222" s="1"/>
  <c r="I25" i="52222" s="1"/>
  <c r="B26" i="52222"/>
  <c r="C26" i="52222"/>
  <c r="D26" i="52222"/>
  <c r="G26" i="52222" s="1"/>
  <c r="I26" i="52222" s="1"/>
  <c r="B25" i="52220"/>
  <c r="D25" i="52220" s="1"/>
  <c r="C8" i="52223"/>
  <c r="C7" i="52223"/>
  <c r="B14" i="52222"/>
  <c r="D14" i="52222"/>
  <c r="G14" i="52222" s="1"/>
  <c r="I14" i="52222" s="1"/>
  <c r="B15" i="52222"/>
  <c r="D15" i="52222"/>
  <c r="G15" i="52222" s="1"/>
  <c r="I15" i="52222" s="1"/>
  <c r="B16" i="52222"/>
  <c r="D16" i="52222"/>
  <c r="G16" i="52222"/>
  <c r="I16" i="52222" s="1"/>
  <c r="B17" i="52222"/>
  <c r="D17" i="52222"/>
  <c r="G17" i="52222" s="1"/>
  <c r="I17" i="52222" s="1"/>
  <c r="B18" i="52222"/>
  <c r="D18" i="52222"/>
  <c r="G18" i="52222" s="1"/>
  <c r="I18" i="52222" s="1"/>
  <c r="B19" i="52222"/>
  <c r="D19" i="52222"/>
  <c r="G19" i="52222" s="1"/>
  <c r="I19" i="52222" s="1"/>
  <c r="B20" i="52222"/>
  <c r="D20" i="52222"/>
  <c r="G20" i="52222" s="1"/>
  <c r="I20" i="52222" s="1"/>
  <c r="B21" i="52222"/>
  <c r="C21" i="52222"/>
  <c r="D21" i="52222"/>
  <c r="G21" i="52222" s="1"/>
  <c r="I21" i="52222" s="1"/>
  <c r="B11" i="52222"/>
  <c r="B12" i="52222"/>
  <c r="B13" i="52222"/>
  <c r="B10" i="52222"/>
  <c r="J4" i="52222"/>
  <c r="C4" i="52222"/>
  <c r="C3" i="52222"/>
  <c r="J1" i="52222"/>
  <c r="D11" i="52222"/>
  <c r="G11" i="52222" s="1"/>
  <c r="I11" i="52222" s="1"/>
  <c r="D12" i="52222"/>
  <c r="G12" i="52222" s="1"/>
  <c r="I12" i="52222" s="1"/>
  <c r="D13" i="52222"/>
  <c r="D10" i="52222"/>
  <c r="G10" i="52222"/>
  <c r="I10" i="52222" s="1"/>
  <c r="C10" i="52222"/>
  <c r="C11" i="52222"/>
  <c r="C12" i="52222"/>
  <c r="C13" i="52222"/>
  <c r="C14" i="52222"/>
  <c r="C15" i="52222"/>
  <c r="C16" i="52222"/>
  <c r="C17" i="52222"/>
  <c r="C18" i="52222"/>
  <c r="C19" i="52222"/>
  <c r="C20" i="52222"/>
  <c r="G13" i="52222"/>
  <c r="I13" i="52222" s="1"/>
  <c r="E20" i="52222"/>
  <c r="F12" i="52222"/>
  <c r="L12" i="52222" s="1"/>
  <c r="F12" i="52225"/>
  <c r="L12" i="52225" s="1"/>
  <c r="F13" i="52222"/>
  <c r="L13" i="52222" s="1"/>
  <c r="D39" i="52220"/>
  <c r="E23" i="52225" s="1"/>
  <c r="D31" i="52220"/>
  <c r="E16" i="52222" s="1"/>
  <c r="E21" i="52222"/>
  <c r="E24" i="52225"/>
  <c r="H24" i="52225" s="1"/>
  <c r="J24" i="52225"/>
  <c r="J21" i="52222"/>
  <c r="H21" i="52222"/>
  <c r="E14" i="52225" l="1"/>
  <c r="H30" i="52220"/>
  <c r="E15" i="52222"/>
  <c r="E11" i="52225"/>
  <c r="J11" i="52225" s="1"/>
  <c r="E12" i="52222"/>
  <c r="H27" i="52220"/>
  <c r="J12" i="52225"/>
  <c r="H12" i="52225"/>
  <c r="E25" i="52225"/>
  <c r="E26" i="52222"/>
  <c r="H41" i="52220"/>
  <c r="F20" i="52222"/>
  <c r="L20" i="52222" s="1"/>
  <c r="F19" i="52225"/>
  <c r="L19" i="52225" s="1"/>
  <c r="F20" i="52225"/>
  <c r="L20" i="52225" s="1"/>
  <c r="F21" i="52222"/>
  <c r="L21" i="52222" s="1"/>
  <c r="H31" i="52220"/>
  <c r="E13" i="52222"/>
  <c r="J13" i="52222" s="1"/>
  <c r="H20" i="52222"/>
  <c r="H25" i="52222"/>
  <c r="D38" i="52220"/>
  <c r="H20" i="52225"/>
  <c r="D33" i="52220"/>
  <c r="H28" i="52220"/>
  <c r="E41" i="52220"/>
  <c r="H13" i="52222"/>
  <c r="J20" i="52222"/>
  <c r="E37" i="52220"/>
  <c r="F22" i="52222" s="1"/>
  <c r="L22" i="52222" s="1"/>
  <c r="E26" i="52220"/>
  <c r="D13" i="52223"/>
  <c r="F23" i="52224" s="1"/>
  <c r="D14" i="52223"/>
  <c r="D12" i="52223" s="1"/>
  <c r="J21" i="52225"/>
  <c r="H21" i="52225"/>
  <c r="F16" i="52225"/>
  <c r="L16" i="52225" s="1"/>
  <c r="F17" i="52222"/>
  <c r="L17" i="52222" s="1"/>
  <c r="E9" i="52225"/>
  <c r="E10" i="52222"/>
  <c r="H25" i="52220"/>
  <c r="H19" i="52225"/>
  <c r="J19" i="52225"/>
  <c r="H34" i="52220"/>
  <c r="E18" i="52225"/>
  <c r="E19" i="52222"/>
  <c r="F23" i="52225"/>
  <c r="L23" i="52225" s="1"/>
  <c r="F24" i="52222"/>
  <c r="L24" i="52222" s="1"/>
  <c r="J14" i="52225"/>
  <c r="H14" i="52225"/>
  <c r="J23" i="52225"/>
  <c r="H23" i="52225"/>
  <c r="F23" i="52222"/>
  <c r="L23" i="52222" s="1"/>
  <c r="F22" i="52225"/>
  <c r="L22" i="52225" s="1"/>
  <c r="E27" i="52222"/>
  <c r="H42" i="52220"/>
  <c r="E26" i="52225"/>
  <c r="E11" i="52222"/>
  <c r="H26" i="52220"/>
  <c r="E10" i="52225"/>
  <c r="F15" i="52225"/>
  <c r="L15" i="52225" s="1"/>
  <c r="F16" i="52222"/>
  <c r="L16" i="52222" s="1"/>
  <c r="F17" i="52225"/>
  <c r="L17" i="52225" s="1"/>
  <c r="F18" i="52222"/>
  <c r="L18" i="52222" s="1"/>
  <c r="H29" i="52220"/>
  <c r="E14" i="52222"/>
  <c r="E13" i="52225"/>
  <c r="H16" i="52222"/>
  <c r="J16" i="52222"/>
  <c r="E15" i="52225"/>
  <c r="E24" i="52222"/>
  <c r="F24" i="52225"/>
  <c r="L24" i="52225" s="1"/>
  <c r="H37" i="52220"/>
  <c r="D32" i="52220"/>
  <c r="H39" i="52220"/>
  <c r="E34" i="52220"/>
  <c r="E25" i="52220"/>
  <c r="E29" i="52220"/>
  <c r="F21" i="52225"/>
  <c r="L21" i="52225" s="1"/>
  <c r="F15" i="52222"/>
  <c r="L15" i="52222" s="1"/>
  <c r="H35" i="52220"/>
  <c r="E22" i="52222"/>
  <c r="J22" i="52222" s="1"/>
  <c r="H11" i="52225"/>
  <c r="E42" i="52220"/>
  <c r="D21" i="52224"/>
  <c r="E17" i="52225" l="1"/>
  <c r="H33" i="52220"/>
  <c r="E18" i="52222"/>
  <c r="F10" i="52225"/>
  <c r="L10" i="52225" s="1"/>
  <c r="F11" i="52222"/>
  <c r="L11" i="52222" s="1"/>
  <c r="E22" i="52225"/>
  <c r="E23" i="52222"/>
  <c r="H38" i="52220"/>
  <c r="H12" i="52222"/>
  <c r="J12" i="52222"/>
  <c r="H26" i="52222"/>
  <c r="J26" i="52222"/>
  <c r="H15" i="52222"/>
  <c r="J15" i="52222"/>
  <c r="J25" i="52225"/>
  <c r="H25" i="52225"/>
  <c r="F25" i="52225"/>
  <c r="L25" i="52225" s="1"/>
  <c r="F26" i="52222"/>
  <c r="L26" i="52222" s="1"/>
  <c r="D11" i="52223"/>
  <c r="D15" i="52223" s="1"/>
  <c r="D16" i="52223"/>
  <c r="D17" i="52223" s="1"/>
  <c r="C22" i="52223"/>
  <c r="D20" i="52224"/>
  <c r="E22" i="52223"/>
  <c r="G22" i="52223"/>
  <c r="B22" i="52223"/>
  <c r="D22" i="52223"/>
  <c r="F22" i="52223"/>
  <c r="F12" i="52223"/>
  <c r="H22" i="52223"/>
  <c r="F14" i="52222"/>
  <c r="L14" i="52222" s="1"/>
  <c r="F13" i="52225"/>
  <c r="L13" i="52225" s="1"/>
  <c r="F10" i="52222"/>
  <c r="L10" i="52222" s="1"/>
  <c r="F9" i="52225"/>
  <c r="L9" i="52225" s="1"/>
  <c r="J15" i="52225"/>
  <c r="H15" i="52225"/>
  <c r="H22" i="52222"/>
  <c r="E17" i="52222"/>
  <c r="E16" i="52225"/>
  <c r="H32" i="52220"/>
  <c r="H18" i="52225"/>
  <c r="J18" i="52225"/>
  <c r="F26" i="52225"/>
  <c r="L26" i="52225" s="1"/>
  <c r="F27" i="52222"/>
  <c r="L27" i="52222" s="1"/>
  <c r="F18" i="52225"/>
  <c r="L18" i="52225" s="1"/>
  <c r="F19" i="52222"/>
  <c r="L19" i="52222" s="1"/>
  <c r="J10" i="52222"/>
  <c r="H10" i="52222"/>
  <c r="H14" i="52222"/>
  <c r="J14" i="52222"/>
  <c r="H27" i="52222"/>
  <c r="J27" i="52222"/>
  <c r="J10" i="52225"/>
  <c r="H10" i="52225"/>
  <c r="J9" i="52225"/>
  <c r="H9" i="52225"/>
  <c r="J11" i="52222"/>
  <c r="H11" i="52222"/>
  <c r="H24" i="52222"/>
  <c r="J24" i="52222"/>
  <c r="J13" i="52225"/>
  <c r="H13" i="52225"/>
  <c r="J19" i="52222"/>
  <c r="H19" i="52222"/>
  <c r="H26" i="52225"/>
  <c r="J26" i="52225"/>
  <c r="D22" i="52224" l="1"/>
  <c r="H23" i="52222"/>
  <c r="J23" i="52222"/>
  <c r="H22" i="52225"/>
  <c r="J22" i="52225"/>
  <c r="J18" i="52222"/>
  <c r="H18" i="52222"/>
  <c r="H17" i="52225"/>
  <c r="J17" i="52225"/>
  <c r="B28" i="52224"/>
  <c r="D23" i="52224"/>
  <c r="F28" i="52224"/>
  <c r="E28" i="52224"/>
  <c r="H28" i="52224"/>
  <c r="G28" i="52224"/>
  <c r="C28" i="52224"/>
  <c r="D28" i="52224"/>
  <c r="J17" i="52222"/>
  <c r="H17" i="52222"/>
  <c r="J16" i="52225"/>
  <c r="H16" i="52225"/>
  <c r="J10" i="52223" l="1"/>
  <c r="I10" i="52223"/>
</calcChain>
</file>

<file path=xl/comments1.xml><?xml version="1.0" encoding="utf-8"?>
<comments xmlns="http://schemas.openxmlformats.org/spreadsheetml/2006/main">
  <authors>
    <author xml:space="preserve"> 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Q9.8を入れる
</t>
        </r>
      </text>
    </comment>
  </commentList>
</comments>
</file>

<file path=xl/sharedStrings.xml><?xml version="1.0" encoding="utf-8"?>
<sst xmlns="http://schemas.openxmlformats.org/spreadsheetml/2006/main" count="198" uniqueCount="127">
  <si>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</si>
  <si>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</si>
  <si>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</si>
  <si>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</si>
  <si>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</si>
  <si>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</si>
  <si>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</si>
  <si>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</si>
  <si>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</si>
  <si>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</si>
  <si>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</si>
  <si>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</si>
  <si>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</si>
  <si>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</si>
  <si>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</si>
  <si>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</si>
  <si>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</si>
  <si>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</si>
  <si>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</si>
  <si>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</si>
  <si>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通気率</t>
    <rPh sb="0" eb="2">
      <t>ツウキ</t>
    </rPh>
    <rPh sb="2" eb="3">
      <t>リツ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</si>
  <si>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</si>
  <si>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相当風速</t>
    <rPh sb="0" eb="2">
      <t>ソウトウ</t>
    </rPh>
    <rPh sb="2" eb="4">
      <t>フウソク</t>
    </rPh>
    <phoneticPr fontId="1"/>
  </si>
  <si>
    <t>通気面積(cm2)</t>
    <rPh sb="0" eb="2">
      <t>ツウキ</t>
    </rPh>
    <rPh sb="2" eb="4">
      <t>メンセキ</t>
    </rPh>
    <phoneticPr fontId="1"/>
  </si>
  <si>
    <t>Ｗ(mm)</t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</si>
  <si>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</si>
  <si>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</si>
  <si>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</si>
  <si>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</si>
  <si>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</si>
  <si>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</si>
  <si>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</si>
  <si>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</si>
  <si>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</si>
  <si>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</si>
  <si>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</si>
  <si>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Ｗ-ａ関係式</t>
    <rPh sb="3" eb="5">
      <t>カンケイ</t>
    </rPh>
    <rPh sb="5" eb="6">
      <t>シキ</t>
    </rPh>
    <phoneticPr fontId="1"/>
  </si>
  <si>
    <t>Ｗ-ｎ関係式</t>
    <rPh sb="3" eb="5">
      <t>カンケイ</t>
    </rPh>
    <rPh sb="5" eb="6">
      <t>シキ</t>
    </rPh>
    <phoneticPr fontId="1"/>
  </si>
  <si>
    <t>グラフより</t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</si>
  <si>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</si>
  <si>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</si>
  <si>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</si>
  <si>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</si>
  <si>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</si>
  <si>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</si>
  <si>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No．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</si>
  <si>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</si>
  <si>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</si>
  <si>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</si>
  <si>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</si>
  <si>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</si>
  <si>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</si>
  <si>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</si>
  <si>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</si>
  <si>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</si>
  <si>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</si>
  <si>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</si>
  <si>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</si>
  <si>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サイズ</t>
    <phoneticPr fontId="1"/>
  </si>
  <si>
    <t>ｍｍ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</si>
  <si>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</si>
  <si>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</si>
  <si>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</si>
  <si>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</si>
  <si>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</si>
  <si>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</si>
  <si>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</si>
  <si>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</si>
  <si>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</si>
  <si>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</si>
  <si>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</si>
  <si>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担　当</t>
    <rPh sb="0" eb="1">
      <t>ニナ</t>
    </rPh>
    <rPh sb="2" eb="3">
      <t>トウ</t>
    </rPh>
    <phoneticPr fontId="1"/>
  </si>
  <si>
    <t>＊　天井高２．７ｍ及び⊿Ｐ＝９.８Ｐａで計算</t>
    <rPh sb="2" eb="4">
      <t>テンジョウ</t>
    </rPh>
    <rPh sb="4" eb="5">
      <t>タカ</t>
    </rPh>
    <rPh sb="9" eb="10">
      <t>オヨ</t>
    </rPh>
    <rPh sb="20" eb="22">
      <t>ケイサン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</si>
  <si>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</si>
  <si>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ｙ＝</t>
    <phoneticPr fontId="1"/>
  </si>
  <si>
    <t>ｘ</t>
    <phoneticPr fontId="1"/>
  </si>
  <si>
    <t>ＳＶ－＊＊＊</t>
    <phoneticPr fontId="1"/>
  </si>
  <si>
    <t>測定日</t>
    <rPh sb="0" eb="2">
      <t>ソクテイ</t>
    </rPh>
    <rPh sb="2" eb="3">
      <t>ビ</t>
    </rPh>
    <phoneticPr fontId="1"/>
  </si>
  <si>
    <t>出来寸Ｗ(mm)</t>
    <rPh sb="0" eb="2">
      <t>デキ</t>
    </rPh>
    <rPh sb="2" eb="3">
      <t>スン</t>
    </rPh>
    <phoneticPr fontId="1"/>
  </si>
  <si>
    <t>製品長さ</t>
  </si>
  <si>
    <t>出来寸Ｗ</t>
  </si>
  <si>
    <t>最小</t>
  </si>
  <si>
    <t>最大</t>
  </si>
  <si>
    <t>出来寸Ｗ＝</t>
    <rPh sb="0" eb="2">
      <t>デキ</t>
    </rPh>
    <rPh sb="2" eb="3">
      <t>スン</t>
    </rPh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</si>
  <si>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</si>
  <si>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</si>
  <si>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</si>
  <si>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</si>
  <si>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</si>
  <si>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</si>
  <si>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</si>
  <si>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</si>
  <si>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</si>
  <si>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</si>
  <si>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</si>
  <si>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＊　測定結果は各サイズ区分の代表値としてください。</t>
    <phoneticPr fontId="1"/>
  </si>
  <si>
    <t>C38</t>
    <phoneticPr fontId="1"/>
  </si>
  <si>
    <t>C45</t>
    <phoneticPr fontId="1"/>
  </si>
  <si>
    <t>（⊿Ｐ／９．９）</t>
  </si>
  <si>
    <t>No．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</si>
  <si>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</si>
  <si>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</si>
  <si>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</si>
  <si>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</si>
  <si>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</si>
  <si>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</si>
  <si>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</si>
  <si>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</si>
  <si>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</si>
  <si>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</si>
  <si>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</si>
  <si>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</si>
  <si>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＊　測定結果は各サイズ区分の代表値としてください。</t>
    <phoneticPr fontId="1"/>
  </si>
  <si>
    <t>樹脂製内窓用　内窓ブレス</t>
    <phoneticPr fontId="1"/>
  </si>
  <si>
    <t>　</t>
    <phoneticPr fontId="1"/>
  </si>
  <si>
    <t>自然換気シリーズ</t>
    <rPh sb="0" eb="2">
      <t>シゼン</t>
    </rPh>
    <rPh sb="2" eb="4">
      <t>カンキ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</si>
  <si>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</si>
  <si>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</si>
  <si>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</si>
  <si>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</si>
  <si>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商品Ｗ寸法</t>
    <rPh sb="0" eb="2">
      <t>ショウヒン</t>
    </rPh>
    <rPh sb="3" eb="5">
      <t>スンポウ</t>
    </rPh>
    <phoneticPr fontId="1"/>
  </si>
  <si>
    <t>PQ-SV056 内窓ブレス-手動開閉式</t>
    <phoneticPr fontId="1"/>
  </si>
  <si>
    <t>樹脂製内窓用内窓ブレス,  内窓ブレス音感知</t>
    <rPh sb="0" eb="2">
      <t>ジュシ</t>
    </rPh>
    <rPh sb="2" eb="3">
      <t>セイ</t>
    </rPh>
    <rPh sb="3" eb="4">
      <t>ナイ</t>
    </rPh>
    <rPh sb="4" eb="6">
      <t>マドヨウ</t>
    </rPh>
    <rPh sb="6" eb="8">
      <t>ウチマド</t>
    </rPh>
    <rPh sb="14" eb="16">
      <t>ウチマド</t>
    </rPh>
    <rPh sb="19" eb="22">
      <t>オトカンチ</t>
    </rPh>
    <phoneticPr fontId="1"/>
  </si>
  <si>
    <t>ｳﾁﾏﾄﾞﾌﾞﾚｽ,  ウチマドブレス-K</t>
    <phoneticPr fontId="1"/>
  </si>
  <si>
    <t>佐々木直美/工藤・石川</t>
    <rPh sb="0" eb="3">
      <t>ササキ</t>
    </rPh>
    <rPh sb="3" eb="5">
      <t>ナオミ</t>
    </rPh>
    <rPh sb="6" eb="8">
      <t>クドウ</t>
    </rPh>
    <rPh sb="9" eb="11">
      <t>イシカワ</t>
    </rPh>
    <phoneticPr fontId="1"/>
  </si>
  <si>
    <t>20101208/20230328</t>
    <phoneticPr fontId="1"/>
  </si>
  <si>
    <t>内窓ブレス(手動開閉・吸音式)　商品図</t>
    <rPh sb="0" eb="1">
      <t>ウチ</t>
    </rPh>
    <rPh sb="1" eb="2">
      <t>マド</t>
    </rPh>
    <rPh sb="6" eb="8">
      <t>シュドウ</t>
    </rPh>
    <rPh sb="8" eb="10">
      <t>カイヘイ</t>
    </rPh>
    <rPh sb="11" eb="14">
      <t>キュウオンシキ</t>
    </rPh>
    <rPh sb="16" eb="18">
      <t>ショウヒン</t>
    </rPh>
    <rPh sb="18" eb="19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</si>
</sst>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5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right" vertical="center"/>
    </xf>
    <xf numFmtId="178" fontId="4" fillId="0" borderId="6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vertical="center"/>
    </xf>
    <xf numFmtId="176" fontId="4" fillId="0" borderId="8" xfId="0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right" vertical="center"/>
    </xf>
    <xf numFmtId="178" fontId="4" fillId="0" borderId="10" xfId="0" applyNumberFormat="1" applyFont="1" applyFill="1" applyBorder="1" applyAlignment="1" applyProtection="1">
      <alignment vertical="center"/>
    </xf>
    <xf numFmtId="180" fontId="4" fillId="3" borderId="2" xfId="0" applyNumberFormat="1" applyFont="1" applyFill="1" applyBorder="1" applyAlignment="1" applyProtection="1">
      <alignment vertical="center"/>
    </xf>
    <xf numFmtId="178" fontId="4" fillId="3" borderId="6" xfId="0" applyNumberFormat="1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0" fontId="10" fillId="2" borderId="6" xfId="0" applyFont="1" applyFill="1" applyBorder="1" applyProtection="1"/>
    <xf numFmtId="0" fontId="0" fillId="2" borderId="6" xfId="0" applyFill="1" applyBorder="1" applyProtection="1"/>
    <xf numFmtId="0" fontId="0" fillId="2" borderId="14" xfId="0" applyFill="1" applyBorder="1" applyProtection="1"/>
    <xf numFmtId="0" fontId="10" fillId="0" borderId="13" xfId="0" applyFont="1" applyFill="1" applyBorder="1" applyProtection="1"/>
    <xf numFmtId="0" fontId="0" fillId="0" borderId="13" xfId="0" applyFill="1" applyBorder="1" applyAlignment="1" applyProtection="1">
      <alignment horizontal="center" vertical="center" wrapText="1" shrinkToFit="1"/>
    </xf>
    <xf numFmtId="178" fontId="0" fillId="2" borderId="13" xfId="0" applyNumberFormat="1" applyFill="1" applyBorder="1" applyProtection="1"/>
    <xf numFmtId="0" fontId="0" fillId="0" borderId="7" xfId="0" applyFill="1" applyBorder="1" applyAlignment="1" applyProtection="1">
      <alignment horizontal="centerContinuous" vertical="center"/>
    </xf>
    <xf numFmtId="0" fontId="0" fillId="0" borderId="14" xfId="0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right" vertical="center"/>
    </xf>
    <xf numFmtId="0" fontId="0" fillId="3" borderId="6" xfId="0" applyFill="1" applyBorder="1" applyProtection="1"/>
    <xf numFmtId="0" fontId="0" fillId="0" borderId="6" xfId="0" applyFill="1" applyBorder="1" applyAlignment="1" applyProtection="1">
      <alignment horizontal="center" vertical="center"/>
    </xf>
    <xf numFmtId="0" fontId="0" fillId="3" borderId="14" xfId="0" applyFill="1" applyBorder="1" applyProtection="1"/>
    <xf numFmtId="0" fontId="0" fillId="4" borderId="6" xfId="0" applyFill="1" applyBorder="1" applyProtection="1"/>
    <xf numFmtId="0" fontId="0" fillId="4" borderId="14" xfId="0" applyFill="1" applyBorder="1" applyProtection="1"/>
    <xf numFmtId="0" fontId="15" fillId="0" borderId="0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shrinkToFit="1"/>
    </xf>
    <xf numFmtId="0" fontId="4" fillId="0" borderId="16" xfId="0" applyFont="1" applyFill="1" applyBorder="1" applyAlignment="1" applyProtection="1">
      <alignment horizontal="center" vertical="center" shrinkToFit="1"/>
    </xf>
    <xf numFmtId="0" fontId="4" fillId="0" borderId="17" xfId="0" applyFont="1" applyFill="1" applyBorder="1" applyAlignment="1" applyProtection="1">
      <alignment horizontal="center" vertical="center" shrinkToFit="1"/>
    </xf>
    <xf numFmtId="180" fontId="4" fillId="2" borderId="18" xfId="0" applyNumberFormat="1" applyFont="1" applyFill="1" applyBorder="1" applyAlignment="1" applyProtection="1"/>
    <xf numFmtId="180" fontId="0" fillId="0" borderId="19" xfId="0" applyNumberFormat="1" applyFill="1" applyBorder="1" applyAlignment="1" applyProtection="1"/>
    <xf numFmtId="178" fontId="0" fillId="5" borderId="13" xfId="0" applyNumberFormat="1" applyFill="1" applyBorder="1" applyAlignment="1" applyProtection="1">
      <alignment vertical="center"/>
    </xf>
    <xf numFmtId="178" fontId="0" fillId="0" borderId="13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20" xfId="0" applyFont="1" applyBorder="1" applyAlignment="1" applyProtection="1">
      <alignment horizontal="centerContinuous" vertical="center" wrapText="1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3" xfId="0" applyFont="1" applyBorder="1" applyAlignment="1" applyProtection="1">
      <alignment horizontal="centerContinuous" vertical="center"/>
    </xf>
    <xf numFmtId="0" fontId="8" fillId="0" borderId="24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7" xfId="0" applyFont="1" applyBorder="1" applyAlignment="1" applyProtection="1">
      <alignment horizontal="centerContinuous" vertical="center"/>
    </xf>
    <xf numFmtId="0" fontId="3" fillId="0" borderId="28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Continuous" vertical="center"/>
    </xf>
    <xf numFmtId="0" fontId="3" fillId="0" borderId="32" xfId="0" applyFont="1" applyBorder="1" applyAlignment="1" applyProtection="1">
      <alignment horizontal="centerContinuous" vertical="center"/>
    </xf>
    <xf numFmtId="0" fontId="3" fillId="0" borderId="33" xfId="0" applyFont="1" applyBorder="1" applyAlignment="1" applyProtection="1">
      <alignment horizontal="centerContinuous" vertical="center"/>
    </xf>
    <xf numFmtId="0" fontId="3" fillId="0" borderId="34" xfId="0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/>
    </xf>
    <xf numFmtId="178" fontId="3" fillId="0" borderId="37" xfId="0" applyNumberFormat="1" applyFont="1" applyBorder="1" applyAlignment="1" applyProtection="1">
      <alignment vertical="center" shrinkToFit="1"/>
    </xf>
    <xf numFmtId="180" fontId="3" fillId="0" borderId="37" xfId="0" applyNumberFormat="1" applyFont="1" applyBorder="1" applyAlignment="1" applyProtection="1">
      <alignment vertical="center"/>
    </xf>
    <xf numFmtId="180" fontId="3" fillId="0" borderId="37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179" fontId="6" fillId="0" borderId="4" xfId="0" applyNumberFormat="1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39" xfId="0" applyNumberFormat="1" applyFont="1" applyBorder="1" applyAlignment="1" applyProtection="1">
      <alignment vertical="center"/>
    </xf>
    <xf numFmtId="178" fontId="3" fillId="0" borderId="13" xfId="0" applyNumberFormat="1" applyFont="1" applyBorder="1" applyAlignment="1" applyProtection="1">
      <alignment vertical="center" shrinkToFit="1"/>
    </xf>
    <xf numFmtId="180" fontId="3" fillId="0" borderId="13" xfId="0" applyNumberFormat="1" applyFont="1" applyBorder="1" applyAlignment="1" applyProtection="1">
      <alignment vertical="center"/>
    </xf>
    <xf numFmtId="180" fontId="3" fillId="0" borderId="13" xfId="0" applyNumberFormat="1" applyFont="1" applyFill="1" applyBorder="1" applyAlignment="1" applyProtection="1">
      <alignment vertical="center"/>
    </xf>
    <xf numFmtId="180" fontId="3" fillId="0" borderId="7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 shrinkToFit="1"/>
    </xf>
    <xf numFmtId="179" fontId="6" fillId="0" borderId="8" xfId="0" applyNumberFormat="1" applyFont="1" applyBorder="1" applyAlignment="1" applyProtection="1">
      <alignment horizontal="left" vertical="center"/>
    </xf>
    <xf numFmtId="0" fontId="3" fillId="0" borderId="40" xfId="0" applyFont="1" applyBorder="1" applyAlignment="1" applyProtection="1">
      <alignment vertical="center"/>
    </xf>
    <xf numFmtId="178" fontId="3" fillId="0" borderId="41" xfId="0" applyNumberFormat="1" applyFont="1" applyBorder="1" applyAlignment="1" applyProtection="1">
      <alignment vertical="center"/>
    </xf>
    <xf numFmtId="178" fontId="3" fillId="0" borderId="42" xfId="0" applyNumberFormat="1" applyFont="1" applyBorder="1" applyAlignment="1" applyProtection="1">
      <alignment vertical="center"/>
    </xf>
    <xf numFmtId="178" fontId="3" fillId="0" borderId="43" xfId="0" applyNumberFormat="1" applyFont="1" applyBorder="1" applyAlignment="1" applyProtection="1">
      <alignment vertical="center" shrinkToFit="1"/>
    </xf>
    <xf numFmtId="180" fontId="3" fillId="0" borderId="43" xfId="0" applyNumberFormat="1" applyFont="1" applyBorder="1" applyAlignment="1" applyProtection="1">
      <alignment vertical="center"/>
    </xf>
    <xf numFmtId="180" fontId="3" fillId="0" borderId="43" xfId="0" applyNumberFormat="1" applyFont="1" applyFill="1" applyBorder="1" applyAlignment="1" applyProtection="1">
      <alignment vertical="center"/>
    </xf>
    <xf numFmtId="180" fontId="3" fillId="0" borderId="11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shrinkToFit="1"/>
    </xf>
    <xf numFmtId="179" fontId="6" fillId="0" borderId="12" xfId="0" applyNumberFormat="1" applyFont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Continuous"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centerContinuous" vertical="center"/>
    </xf>
    <xf numFmtId="0" fontId="13" fillId="3" borderId="14" xfId="0" applyFont="1" applyFill="1" applyBorder="1" applyAlignment="1" applyProtection="1">
      <alignment horizontal="centerContinuous" vertical="center"/>
    </xf>
    <xf numFmtId="0" fontId="13" fillId="5" borderId="7" xfId="0" applyFont="1" applyFill="1" applyBorder="1" applyAlignment="1" applyProtection="1">
      <alignment horizontal="centerContinuous" vertical="center"/>
    </xf>
    <xf numFmtId="0" fontId="13" fillId="5" borderId="14" xfId="0" applyFont="1" applyFill="1" applyBorder="1" applyAlignment="1" applyProtection="1">
      <alignment horizontal="centerContinuous" vertical="center"/>
    </xf>
    <xf numFmtId="0" fontId="13" fillId="0" borderId="1" xfId="0" applyFont="1" applyFill="1" applyBorder="1" applyAlignment="1" applyProtection="1">
      <alignment vertical="center"/>
    </xf>
    <xf numFmtId="0" fontId="13" fillId="0" borderId="11" xfId="0" applyFont="1" applyFill="1" applyBorder="1" applyAlignment="1" applyProtection="1">
      <alignment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Continuous" vertical="center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right" vertical="center" shrinkToFit="1"/>
    </xf>
    <xf numFmtId="0" fontId="13" fillId="0" borderId="2" xfId="0" applyFont="1" applyFill="1" applyBorder="1" applyAlignment="1" applyProtection="1"/>
    <xf numFmtId="0" fontId="13" fillId="0" borderId="4" xfId="0" applyFont="1" applyFill="1" applyBorder="1" applyAlignment="1" applyProtection="1">
      <alignment horizontal="left" vertical="center"/>
    </xf>
    <xf numFmtId="0" fontId="13" fillId="0" borderId="5" xfId="0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Continuous" vertical="center"/>
    </xf>
    <xf numFmtId="0" fontId="12" fillId="0" borderId="6" xfId="0" applyNumberFormat="1" applyFont="1" applyFill="1" applyBorder="1" applyAlignment="1" applyProtection="1">
      <alignment horizontal="left" vertical="center"/>
    </xf>
    <xf numFmtId="0" fontId="11" fillId="0" borderId="6" xfId="0" applyNumberFormat="1" applyFont="1" applyFill="1" applyBorder="1" applyAlignment="1" applyProtection="1">
      <alignment horizontal="left" vertical="center"/>
    </xf>
    <xf numFmtId="177" fontId="13" fillId="0" borderId="8" xfId="0" applyNumberFormat="1" applyFont="1" applyFill="1" applyBorder="1" applyAlignment="1" applyProtection="1">
      <alignment vertical="center"/>
    </xf>
    <xf numFmtId="178" fontId="0" fillId="5" borderId="6" xfId="0" applyNumberFormat="1" applyFill="1" applyBorder="1" applyAlignment="1" applyProtection="1">
      <alignment vertical="center"/>
    </xf>
    <xf numFmtId="182" fontId="4" fillId="0" borderId="6" xfId="0" applyNumberFormat="1" applyFont="1" applyFill="1" applyBorder="1" applyAlignment="1" applyProtection="1">
      <alignment vertical="center"/>
    </xf>
    <xf numFmtId="177" fontId="4" fillId="0" borderId="8" xfId="0" applyNumberFormat="1" applyFont="1" applyFill="1" applyBorder="1" applyAlignment="1" applyProtection="1">
      <alignment vertical="center"/>
    </xf>
    <xf numFmtId="0" fontId="14" fillId="0" borderId="6" xfId="0" applyNumberFormat="1" applyFont="1" applyFill="1" applyBorder="1" applyAlignment="1" applyProtection="1">
      <alignment horizontal="centerContinuous" vertical="center"/>
    </xf>
    <xf numFmtId="0" fontId="3" fillId="0" borderId="6" xfId="0" applyNumberFormat="1" applyFont="1" applyFill="1" applyBorder="1" applyAlignment="1" applyProtection="1">
      <alignment horizontal="centerContinuous" vertical="center"/>
    </xf>
    <xf numFmtId="177" fontId="3" fillId="0" borderId="8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horizontal="centerContinuous" vertical="center"/>
    </xf>
    <xf numFmtId="0" fontId="3" fillId="0" borderId="10" xfId="0" applyNumberFormat="1" applyFont="1" applyFill="1" applyBorder="1" applyAlignment="1" applyProtection="1">
      <alignment horizontal="centerContinuous" vertical="center"/>
    </xf>
    <xf numFmtId="177" fontId="3" fillId="0" borderId="12" xfId="0" applyNumberFormat="1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181" fontId="4" fillId="0" borderId="13" xfId="0" applyNumberFormat="1" applyFont="1" applyFill="1" applyBorder="1" applyAlignment="1" applyProtection="1">
      <alignment vertical="center"/>
    </xf>
    <xf numFmtId="181" fontId="3" fillId="0" borderId="13" xfId="0" applyNumberFormat="1" applyFont="1" applyFill="1" applyBorder="1" applyAlignment="1" applyProtection="1">
      <alignment vertical="center"/>
    </xf>
    <xf numFmtId="178" fontId="3" fillId="0" borderId="13" xfId="0" applyNumberFormat="1" applyFont="1" applyFill="1" applyBorder="1" applyAlignment="1" applyProtection="1">
      <alignment vertical="center"/>
    </xf>
    <xf numFmtId="180" fontId="0" fillId="0" borderId="0" xfId="0" applyNumberFormat="1" applyFill="1" applyBorder="1" applyAlignment="1" applyProtection="1"/>
    <xf numFmtId="178" fontId="0" fillId="0" borderId="0" xfId="0" applyNumberFormat="1" applyFill="1" applyBorder="1" applyProtection="1"/>
    <xf numFmtId="180" fontId="4" fillId="0" borderId="0" xfId="0" applyNumberFormat="1" applyFont="1" applyFill="1" applyBorder="1" applyAlignment="1" applyProtection="1"/>
    <xf numFmtId="178" fontId="0" fillId="0" borderId="0" xfId="0" applyNumberFormat="1" applyFill="1" applyBorder="1" applyAlignment="1" applyProtection="1">
      <alignment vertical="center"/>
    </xf>
    <xf numFmtId="179" fontId="0" fillId="0" borderId="0" xfId="0" applyNumberFormat="1" applyFill="1" applyBorder="1" applyProtection="1"/>
    <xf numFmtId="178" fontId="4" fillId="3" borderId="44" xfId="0" applyNumberFormat="1" applyFont="1" applyFill="1" applyBorder="1" applyAlignment="1" applyProtection="1">
      <alignment vertical="center"/>
    </xf>
    <xf numFmtId="178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shrinkToFit="1"/>
    </xf>
    <xf numFmtId="178" fontId="0" fillId="6" borderId="13" xfId="0" applyNumberFormat="1" applyFill="1" applyBorder="1" applyProtection="1"/>
    <xf numFmtId="178" fontId="3" fillId="0" borderId="37" xfId="0" applyNumberFormat="1" applyFont="1" applyFill="1" applyBorder="1" applyAlignment="1" applyProtection="1">
      <alignment vertical="center"/>
    </xf>
    <xf numFmtId="178" fontId="4" fillId="9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18" fillId="0" borderId="32" xfId="0" applyFont="1" applyFill="1" applyBorder="1" applyAlignment="1" applyProtection="1">
      <alignment horizontal="left" vertical="center"/>
      <protection hidden="1"/>
    </xf>
    <xf numFmtId="178" fontId="4" fillId="8" borderId="2" xfId="0" applyNumberFormat="1" applyFont="1" applyFill="1" applyBorder="1" applyAlignment="1" applyProtection="1">
      <alignment vertical="center"/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vertical="center"/>
      <protection hidden="1"/>
    </xf>
    <xf numFmtId="0" fontId="4" fillId="0" borderId="7" xfId="0" applyFont="1" applyFill="1" applyBorder="1" applyAlignment="1" applyProtection="1">
      <alignment horizontal="right" vertical="center"/>
      <protection hidden="1"/>
    </xf>
    <xf numFmtId="178" fontId="4" fillId="0" borderId="6" xfId="0" applyNumberFormat="1" applyFont="1" applyFill="1" applyBorder="1" applyAlignment="1" applyProtection="1">
      <alignment horizontal="right" vertical="center"/>
      <protection hidden="1"/>
    </xf>
    <xf numFmtId="0" fontId="4" fillId="0" borderId="6" xfId="0" applyNumberFormat="1" applyFont="1" applyFill="1" applyBorder="1" applyAlignment="1" applyProtection="1">
      <alignment horizontal="right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vertical="center"/>
      <protection hidden="1"/>
    </xf>
    <xf numFmtId="0" fontId="0" fillId="0" borderId="8" xfId="0" applyFont="1" applyFill="1" applyBorder="1" applyAlignment="1" applyProtection="1">
      <alignment horizontal="left" vertical="center"/>
      <protection hidden="1"/>
    </xf>
    <xf numFmtId="0" fontId="4" fillId="0" borderId="11" xfId="0" applyFont="1" applyFill="1" applyBorder="1" applyAlignment="1" applyProtection="1">
      <alignment horizontal="right" vertical="center"/>
      <protection hidden="1"/>
    </xf>
    <xf numFmtId="178" fontId="4" fillId="0" borderId="10" xfId="0" applyNumberFormat="1" applyFont="1" applyFill="1" applyBorder="1" applyAlignment="1" applyProtection="1">
      <alignment horizontal="right" vertical="center"/>
      <protection hidden="1"/>
    </xf>
    <xf numFmtId="0" fontId="4" fillId="0" borderId="10" xfId="0" applyNumberFormat="1" applyFont="1" applyFill="1" applyBorder="1" applyAlignment="1" applyProtection="1">
      <alignment horizontal="right" vertical="center"/>
      <protection hidden="1"/>
    </xf>
    <xf numFmtId="179" fontId="12" fillId="0" borderId="10" xfId="0" applyNumberFormat="1" applyFont="1" applyFill="1" applyBorder="1" applyAlignment="1" applyProtection="1">
      <alignment horizontal="left" vertical="center"/>
      <protection hidden="1"/>
    </xf>
    <xf numFmtId="0" fontId="11" fillId="0" borderId="10" xfId="0" applyNumberFormat="1" applyFont="1" applyFill="1" applyBorder="1" applyAlignment="1" applyProtection="1">
      <alignment horizontal="left" vertical="center"/>
      <protection hidden="1"/>
    </xf>
    <xf numFmtId="177" fontId="0" fillId="0" borderId="12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81" fontId="20" fillId="0" borderId="0" xfId="0" applyNumberFormat="1" applyFont="1" applyFill="1" applyBorder="1" applyAlignment="1" applyProtection="1">
      <alignment vertical="center"/>
      <protection hidden="1"/>
    </xf>
    <xf numFmtId="181" fontId="21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178" fontId="21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15" fillId="0" borderId="47" xfId="0" applyFont="1" applyFill="1" applyBorder="1" applyAlignment="1" applyProtection="1">
      <alignment horizontal="center" vertical="center"/>
    </xf>
    <xf numFmtId="0" fontId="15" fillId="0" borderId="48" xfId="0" applyFont="1" applyFill="1" applyBorder="1" applyAlignment="1" applyProtection="1">
      <alignment horizontal="center" vertical="center"/>
    </xf>
    <xf numFmtId="0" fontId="15" fillId="0" borderId="49" xfId="0" applyFont="1" applyFill="1" applyBorder="1" applyAlignment="1" applyProtection="1">
      <alignment horizontal="center" vertical="center"/>
    </xf>
    <xf numFmtId="0" fontId="0" fillId="0" borderId="45" xfId="0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180" fontId="0" fillId="2" borderId="7" xfId="0" applyNumberFormat="1" applyFill="1" applyBorder="1" applyAlignment="1" applyProtection="1"/>
    <xf numFmtId="180" fontId="0" fillId="2" borderId="6" xfId="0" applyNumberFormat="1" applyFill="1" applyBorder="1" applyAlignment="1" applyProtection="1"/>
    <xf numFmtId="180" fontId="0" fillId="2" borderId="14" xfId="0" applyNumberFormat="1" applyFill="1" applyBorder="1" applyAlignment="1" applyProtection="1"/>
    <xf numFmtId="0" fontId="4" fillId="0" borderId="0" xfId="0" applyFont="1" applyFill="1" applyBorder="1" applyAlignment="1" applyProtection="1">
      <alignment horizontal="center" vertical="center"/>
    </xf>
    <xf numFmtId="183" fontId="0" fillId="2" borderId="7" xfId="0" applyNumberFormat="1" applyFill="1" applyBorder="1" applyAlignment="1" applyProtection="1">
      <alignment horizontal="center" vertical="center"/>
    </xf>
    <xf numFmtId="183" fontId="0" fillId="2" borderId="14" xfId="0" applyNumberFormat="1" applyFill="1" applyBorder="1" applyAlignment="1" applyProtection="1">
      <alignment horizontal="center" vertical="center"/>
    </xf>
    <xf numFmtId="0" fontId="16" fillId="0" borderId="50" xfId="0" applyFont="1" applyFill="1" applyBorder="1" applyAlignment="1" applyProtection="1">
      <alignment horizontal="center" vertical="center"/>
    </xf>
    <xf numFmtId="0" fontId="16" fillId="0" borderId="51" xfId="0" applyFont="1" applyFill="1" applyBorder="1" applyAlignment="1" applyProtection="1">
      <alignment horizontal="center" vertical="center"/>
    </xf>
    <xf numFmtId="0" fontId="16" fillId="0" borderId="52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center" vertical="center" wrapText="1"/>
    </xf>
    <xf numFmtId="0" fontId="10" fillId="0" borderId="46" xfId="0" applyFont="1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3" fillId="0" borderId="53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vertical="center"/>
    </xf>
    <xf numFmtId="0" fontId="3" fillId="0" borderId="5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56" xfId="0" applyFont="1" applyFill="1" applyBorder="1" applyAlignment="1" applyProtection="1">
      <alignment horizontal="center" vertical="center"/>
    </xf>
    <xf numFmtId="0" fontId="4" fillId="0" borderId="32" xfId="0" applyFont="1" applyFill="1" applyBorder="1" applyProtection="1"/>
    <xf numFmtId="0" fontId="4" fillId="0" borderId="33" xfId="0" applyFont="1" applyFill="1" applyBorder="1" applyProtection="1"/>
    <xf numFmtId="0" fontId="13" fillId="0" borderId="1" xfId="0" applyFont="1" applyFill="1" applyBorder="1" applyAlignment="1" applyProtection="1">
      <alignment vertical="center"/>
    </xf>
    <xf numFmtId="0" fontId="13" fillId="0" borderId="57" xfId="0" applyFont="1" applyBorder="1" applyAlignment="1" applyProtection="1">
      <alignment vertical="center"/>
    </xf>
    <xf numFmtId="0" fontId="13" fillId="0" borderId="9" xfId="0" applyFont="1" applyFill="1" applyBorder="1" applyAlignment="1" applyProtection="1">
      <alignment vertical="center"/>
    </xf>
    <xf numFmtId="0" fontId="13" fillId="0" borderId="58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4" fillId="0" borderId="59" xfId="0" applyFont="1" applyFill="1" applyBorder="1" applyAlignment="1" applyProtection="1">
      <alignment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3" fillId="0" borderId="3" xfId="0" applyFont="1" applyFill="1" applyBorder="1" applyAlignment="1" applyProtection="1">
      <alignment vertical="center" shrinkToFit="1"/>
    </xf>
    <xf numFmtId="0" fontId="0" fillId="0" borderId="2" xfId="0" applyBorder="1" applyAlignment="1" applyProtection="1">
      <alignment vertical="center" shrinkToFit="1"/>
    </xf>
    <xf numFmtId="0" fontId="0" fillId="0" borderId="4" xfId="0" applyBorder="1" applyAlignment="1" applyProtection="1">
      <alignment vertical="center" shrinkToFit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  <xf numFmtId="0" fontId="0" fillId="0" borderId="58" xfId="0" applyFont="1" applyBorder="1" applyAlignment="1" applyProtection="1">
      <alignment horizontal="left" vertical="center" indent="1"/>
      <protection hidden="1"/>
    </xf>
    <xf numFmtId="0" fontId="22" fillId="7" borderId="0" xfId="0" applyFont="1" applyFill="1" applyBorder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2" fillId="7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indent="1"/>
      <protection hidden="1"/>
    </xf>
    <xf numFmtId="0" fontId="0" fillId="0" borderId="57" xfId="0" applyFont="1" applyBorder="1" applyAlignment="1" applyProtection="1">
      <alignment horizontal="left" vertical="center" indent="1"/>
      <protection hidden="1"/>
    </xf>
    <xf numFmtId="0" fontId="22" fillId="7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実測値（Ｗ-ａ）</a:t>
            </a:r>
          </a:p>
        </c:rich>
      </c:tx>
      <c:layout>
        <c:manualLayout>
          <c:xMode val="edge"/>
          <c:yMode val="edge"/>
          <c:x val="0.37354207194688899"/>
          <c:y val="3.3435711840367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8296855409742"/>
          <c:y val="0.11246573383881435"/>
          <c:w val="0.70002379255192593"/>
          <c:h val="0.7234282338821030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29772821750799461"/>
                  <c:y val="-0.1618667930879914"/>
                </c:manualLayout>
              </c:layout>
              <c:numFmt formatCode="General" sourceLinked="0"/>
              <c:spPr>
                <a:solidFill>
                  <a:srgbClr val="CC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500</c:v>
                </c:pt>
                <c:pt idx="1">
                  <c:v>740</c:v>
                </c:pt>
                <c:pt idx="2">
                  <c:v>1099</c:v>
                </c:pt>
              </c:numCache>
            </c:numRef>
          </c:xVal>
          <c:yVal>
            <c:numRef>
              <c:f>測定データ!$D$15:$D$17</c:f>
              <c:numCache>
                <c:formatCode>0.0_ </c:formatCode>
                <c:ptCount val="3"/>
                <c:pt idx="0">
                  <c:v>15.1</c:v>
                </c:pt>
                <c:pt idx="1">
                  <c:v>20.85</c:v>
                </c:pt>
                <c:pt idx="2">
                  <c:v>32.200000000000003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B-45CE-B0B4-EB70F7FA5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5384"/>
        <c:axId val="283984208"/>
      </c:scatterChart>
      <c:valAx>
        <c:axId val="28398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4413617415470117"/>
              <c:y val="0.92404264684305759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208"/>
        <c:crosses val="autoZero"/>
        <c:crossBetween val="midCat"/>
      </c:valAx>
      <c:valAx>
        <c:axId val="283984208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ａ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1.4706499922803767E-2"/>
              <c:y val="0.4589817577150682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5384"/>
        <c:crosses val="autoZero"/>
        <c:crossBetween val="midCat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529874942102824"/>
          <c:y val="7.9030012552778736E-2"/>
          <c:w val="0.30883402809942873"/>
          <c:h val="0.173258016660960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実測値（Ｗ-ｎ）</a:t>
            </a:r>
          </a:p>
        </c:rich>
      </c:tx>
      <c:layout>
        <c:manualLayout>
          <c:xMode val="edge"/>
          <c:yMode val="edge"/>
          <c:x val="0.38212669362275659"/>
          <c:y val="3.353791056491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054879465545508"/>
          <c:y val="0.14024876534437644"/>
          <c:w val="0.73444220745443689"/>
          <c:h val="0.72868380255012977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4806334592271508"/>
                  <c:y val="-0.11193894462959952"/>
                </c:manualLayout>
              </c:layout>
              <c:numFmt formatCode="General" sourceLinked="0"/>
              <c:spPr>
                <a:solidFill>
                  <a:srgbClr val="CCFFCC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500</c:v>
                </c:pt>
                <c:pt idx="1">
                  <c:v>740</c:v>
                </c:pt>
                <c:pt idx="2">
                  <c:v>1099</c:v>
                </c:pt>
              </c:numCache>
            </c:numRef>
          </c:xVal>
          <c:yVal>
            <c:numRef>
              <c:f>測定データ!$E$15:$E$17</c:f>
              <c:numCache>
                <c:formatCode>0.0_ </c:formatCode>
                <c:ptCount val="3"/>
                <c:pt idx="0">
                  <c:v>1.395</c:v>
                </c:pt>
                <c:pt idx="1">
                  <c:v>1.5249999999999999</c:v>
                </c:pt>
                <c:pt idx="2">
                  <c:v>1.79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C9-49F2-AC03-1072B87D5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2248"/>
        <c:axId val="283982640"/>
      </c:scatterChart>
      <c:valAx>
        <c:axId val="28398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7183514222884302"/>
              <c:y val="0.93295917449571131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2640"/>
        <c:crosses val="autoZero"/>
        <c:crossBetween val="midCat"/>
      </c:valAx>
      <c:valAx>
        <c:axId val="283982640"/>
        <c:scaling>
          <c:orientation val="minMax"/>
          <c:max val="2"/>
          <c:min val="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ｎ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5.6912534581825922E-2"/>
              <c:y val="0.49391942829576213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2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456238916081433"/>
          <c:y val="8.8417592660730501E-2"/>
          <c:w val="0.28456238916081433"/>
          <c:h val="0.173786641155836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10.477960010800155</c:v>
                </c:pt>
                <c:pt idx="2">
                  <c:v>18.680701740871573</c:v>
                </c:pt>
                <c:pt idx="3">
                  <c:v>24.443066329044509</c:v>
                </c:pt>
                <c:pt idx="4">
                  <c:v>35.204041647236586</c:v>
                </c:pt>
                <c:pt idx="5">
                  <c:v>62.763763309593585</c:v>
                </c:pt>
                <c:pt idx="6">
                  <c:v>82.124261225171139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1A-46F5-A3E1-5F539ADFC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3032"/>
        <c:axId val="283984600"/>
      </c:scatterChart>
      <c:valAx>
        <c:axId val="283983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012422360248448"/>
              <c:y val="0.93542156545500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600"/>
        <c:crosses val="autoZero"/>
        <c:crossBetween val="midCat"/>
      </c:valAx>
      <c:valAx>
        <c:axId val="2839846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59292930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303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771834574662"/>
          <c:y val="5.2631650135866806E-2"/>
          <c:w val="0.82442809550042906"/>
          <c:h val="0.7700841440932091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'PQ-SV056 内窓ブレス'!$B$28:$H$28</c:f>
              <c:numCache>
                <c:formatCode>0.0_ </c:formatCode>
                <c:ptCount val="7"/>
                <c:pt idx="0">
                  <c:v>0</c:v>
                </c:pt>
                <c:pt idx="1">
                  <c:v>10.390222578684009</c:v>
                </c:pt>
                <c:pt idx="2">
                  <c:v>18.599407777088473</c:v>
                </c:pt>
                <c:pt idx="3">
                  <c:v>24.382540450667282</c:v>
                </c:pt>
                <c:pt idx="4">
                  <c:v>35.206662017726721</c:v>
                </c:pt>
                <c:pt idx="5">
                  <c:v>63.023006329164652</c:v>
                </c:pt>
                <c:pt idx="6">
                  <c:v>82.618813435363265</c:v>
                </c:pt>
              </c:numCache>
            </c:numRef>
          </c:xVal>
          <c:yVal>
            <c:numRef>
              <c:f>'PQ-SV056 内窓ブレス'!$B$27:$H$27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98-40DA-B379-B0901EAF8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6168"/>
        <c:axId val="283984992"/>
      </c:scatterChart>
      <c:valAx>
        <c:axId val="2839861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374077858588287"/>
              <c:y val="0.919668753317192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992"/>
        <c:crosses val="autoZero"/>
        <c:crossBetween val="midCat"/>
      </c:valAx>
      <c:valAx>
        <c:axId val="283984992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87088771437816E-2"/>
              <c:y val="0.252077853149242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6168"/>
        <c:crosses val="autoZero"/>
        <c:crossBetween val="midCat"/>
      </c:valAx>
      <c:spPr>
        <a:noFill/>
        <a:ln w="190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28575</xdr:rowOff>
    </xdr:from>
    <xdr:to>
      <xdr:col>5</xdr:col>
      <xdr:colOff>333375</xdr:colOff>
      <xdr:row>64</xdr:row>
      <xdr:rowOff>76200</xdr:rowOff>
    </xdr:to>
    <xdr:graphicFrame macro="">
      <xdr:nvGraphicFramePr>
        <xdr:cNvPr id="515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46</xdr:row>
      <xdr:rowOff>28575</xdr:rowOff>
    </xdr:from>
    <xdr:to>
      <xdr:col>12</xdr:col>
      <xdr:colOff>123825</xdr:colOff>
      <xdr:row>64</xdr:row>
      <xdr:rowOff>66675</xdr:rowOff>
    </xdr:to>
    <xdr:graphicFrame macro="">
      <xdr:nvGraphicFramePr>
        <xdr:cNvPr id="5154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133350</xdr:colOff>
      <xdr:row>2</xdr:row>
      <xdr:rowOff>76200</xdr:rowOff>
    </xdr:to>
    <xdr:pic>
      <xdr:nvPicPr>
        <xdr:cNvPr id="34831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3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38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190500</xdr:rowOff>
    </xdr:from>
    <xdr:to>
      <xdr:col>7</xdr:col>
      <xdr:colOff>257175</xdr:colOff>
      <xdr:row>15</xdr:row>
      <xdr:rowOff>3629025</xdr:rowOff>
    </xdr:to>
    <xdr:graphicFrame macro="">
      <xdr:nvGraphicFramePr>
        <xdr:cNvPr id="3588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</xdr:row>
      <xdr:rowOff>104777</xdr:rowOff>
    </xdr:from>
    <xdr:to>
      <xdr:col>6</xdr:col>
      <xdr:colOff>638175</xdr:colOff>
      <xdr:row>11</xdr:row>
      <xdr:rowOff>9525</xdr:rowOff>
    </xdr:to>
    <xdr:grpSp>
      <xdr:nvGrpSpPr>
        <xdr:cNvPr id="2" name="グループ化 1"/>
        <xdr:cNvGrpSpPr/>
      </xdr:nvGrpSpPr>
      <xdr:grpSpPr>
        <a:xfrm>
          <a:off x="323850" y="1476377"/>
          <a:ext cx="5400675" cy="2305048"/>
          <a:chOff x="0" y="1053194"/>
          <a:chExt cx="5805715" cy="2670175"/>
        </a:xfrm>
      </xdr:grpSpPr>
      <xdr:pic>
        <xdr:nvPicPr>
          <xdr:cNvPr id="35884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58" r="1884"/>
          <a:stretch/>
        </xdr:blipFill>
        <xdr:spPr bwMode="auto">
          <a:xfrm>
            <a:off x="0" y="1053194"/>
            <a:ext cx="5805715" cy="26701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テキスト ボックス 3"/>
          <xdr:cNvSpPr txBox="1"/>
        </xdr:nvSpPr>
        <xdr:spPr>
          <a:xfrm>
            <a:off x="2710543" y="3296558"/>
            <a:ext cx="1631950" cy="22406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商品Ｗ寸法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133350</xdr:colOff>
      <xdr:row>2</xdr:row>
      <xdr:rowOff>76200</xdr:rowOff>
    </xdr:to>
    <xdr:pic>
      <xdr:nvPicPr>
        <xdr:cNvPr id="36879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304800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43"/>
  <sheetViews>
    <sheetView showGridLines="0" zoomScaleNormal="100" workbookViewId="0">
      <selection activeCell="P44" sqref="P44"/>
    </sheetView>
  </sheetViews>
  <sheetFormatPr defaultColWidth="9" defaultRowHeight="13.5" x14ac:dyDescent="0.15"/>
  <cols>
    <col min="1" max="6" width="7.625" style="17" customWidth="1"/>
    <col min="7" max="7" width="4.125" style="17" customWidth="1"/>
    <col min="8" max="8" width="12.75" style="17" bestFit="1" customWidth="1"/>
    <col min="9" max="9" width="4.25" style="17" bestFit="1" customWidth="1"/>
    <col min="10" max="10" width="10.5" style="17" bestFit="1" customWidth="1"/>
    <col min="11" max="11" width="2.625" style="17" customWidth="1"/>
    <col min="12" max="12" width="7.625" style="17" customWidth="1"/>
    <col min="13" max="16384" width="9" style="17"/>
  </cols>
  <sheetData>
    <row r="1" spans="1:12" x14ac:dyDescent="0.15">
      <c r="A1" s="17" t="s">
        <v>30</v>
      </c>
      <c r="B1" s="17" t="s">
        <v>43</v>
      </c>
      <c r="J1" s="190" t="s">
        <v>34</v>
      </c>
      <c r="K1" s="191"/>
      <c r="L1" s="192"/>
    </row>
    <row r="2" spans="1:12" x14ac:dyDescent="0.15">
      <c r="B2" s="17" t="s">
        <v>40</v>
      </c>
    </row>
    <row r="3" spans="1:12" x14ac:dyDescent="0.15">
      <c r="B3" s="17" t="s">
        <v>39</v>
      </c>
    </row>
    <row r="4" spans="1:12" x14ac:dyDescent="0.15">
      <c r="B4" s="17" t="s">
        <v>31</v>
      </c>
    </row>
    <row r="6" spans="1:12" ht="21" x14ac:dyDescent="0.2">
      <c r="A6" s="18" t="s">
        <v>41</v>
      </c>
      <c r="B6" s="19"/>
    </row>
    <row r="7" spans="1:12" x14ac:dyDescent="0.15">
      <c r="A7" s="20" t="s">
        <v>42</v>
      </c>
      <c r="B7" s="21" t="s">
        <v>122</v>
      </c>
      <c r="C7" s="22"/>
      <c r="D7" s="22"/>
      <c r="E7" s="22"/>
      <c r="F7" s="23"/>
    </row>
    <row r="8" spans="1:12" x14ac:dyDescent="0.15">
      <c r="A8" s="24" t="s">
        <v>32</v>
      </c>
      <c r="B8" s="21" t="s">
        <v>123</v>
      </c>
      <c r="C8" s="22"/>
      <c r="D8" s="22"/>
      <c r="E8" s="22"/>
      <c r="F8" s="23"/>
    </row>
    <row r="9" spans="1:12" x14ac:dyDescent="0.15">
      <c r="A9" s="24" t="s">
        <v>44</v>
      </c>
      <c r="B9" s="21" t="s">
        <v>124</v>
      </c>
      <c r="C9" s="22"/>
      <c r="D9" s="22"/>
      <c r="E9" s="22"/>
      <c r="F9" s="23"/>
    </row>
    <row r="10" spans="1:12" x14ac:dyDescent="0.15">
      <c r="A10" s="24" t="s">
        <v>70</v>
      </c>
      <c r="B10" s="21" t="s">
        <v>125</v>
      </c>
      <c r="C10" s="22"/>
      <c r="D10" s="22"/>
      <c r="E10" s="22"/>
      <c r="F10" s="23"/>
    </row>
    <row r="11" spans="1:12" x14ac:dyDescent="0.15">
      <c r="A11" s="24" t="s">
        <v>77</v>
      </c>
      <c r="B11" s="21" t="s">
        <v>125</v>
      </c>
      <c r="C11" s="22"/>
      <c r="D11" s="22"/>
      <c r="E11" s="22"/>
      <c r="F11" s="23"/>
    </row>
    <row r="13" spans="1:12" ht="21" x14ac:dyDescent="0.2">
      <c r="A13" s="18" t="s">
        <v>29</v>
      </c>
      <c r="B13" s="19"/>
      <c r="C13" s="19"/>
    </row>
    <row r="14" spans="1:12" ht="27" x14ac:dyDescent="0.15">
      <c r="A14" s="183" t="s">
        <v>24</v>
      </c>
      <c r="B14" s="183"/>
      <c r="C14" s="183"/>
      <c r="D14" s="25" t="s">
        <v>15</v>
      </c>
      <c r="E14" s="25" t="s">
        <v>16</v>
      </c>
      <c r="H14" s="25" t="s">
        <v>35</v>
      </c>
      <c r="I14" s="188">
        <f>(9.5+9.7+9.1+9.4+8.6+8.9)/6</f>
        <v>9.1999999999999993</v>
      </c>
      <c r="J14" s="189"/>
    </row>
    <row r="15" spans="1:12" x14ac:dyDescent="0.15">
      <c r="A15" s="184">
        <v>500</v>
      </c>
      <c r="B15" s="185"/>
      <c r="C15" s="186"/>
      <c r="D15" s="26">
        <f>(14.5+15.7)/2</f>
        <v>15.1</v>
      </c>
      <c r="E15" s="26">
        <f>(1.38+1.41)/2</f>
        <v>1.395</v>
      </c>
    </row>
    <row r="16" spans="1:12" x14ac:dyDescent="0.15">
      <c r="A16" s="184">
        <v>740</v>
      </c>
      <c r="B16" s="185"/>
      <c r="C16" s="186"/>
      <c r="D16" s="26">
        <f>(21.5+20.2)/2</f>
        <v>20.85</v>
      </c>
      <c r="E16" s="26">
        <f>(1.56+1.49)/2</f>
        <v>1.5249999999999999</v>
      </c>
    </row>
    <row r="17" spans="1:15" x14ac:dyDescent="0.15">
      <c r="A17" s="184">
        <v>1099</v>
      </c>
      <c r="B17" s="185"/>
      <c r="C17" s="186"/>
      <c r="D17" s="26">
        <f>(31.9+32.5)/2</f>
        <v>32.200000000000003</v>
      </c>
      <c r="E17" s="26">
        <f>(1.79+1.79)/2</f>
        <v>1.79</v>
      </c>
    </row>
    <row r="19" spans="1:15" ht="21" x14ac:dyDescent="0.2">
      <c r="A19" s="18" t="s">
        <v>17</v>
      </c>
      <c r="B19" s="19"/>
      <c r="C19" s="19"/>
      <c r="E19" s="17" t="s">
        <v>38</v>
      </c>
    </row>
    <row r="20" spans="1:15" ht="20.100000000000001" customHeight="1" x14ac:dyDescent="0.2">
      <c r="A20" s="18"/>
      <c r="B20" s="19"/>
      <c r="C20" s="19"/>
      <c r="E20" s="27" t="s">
        <v>36</v>
      </c>
      <c r="F20" s="28"/>
      <c r="G20" s="29" t="s">
        <v>74</v>
      </c>
      <c r="H20" s="30">
        <v>2.8799999999999999E-2</v>
      </c>
      <c r="I20" s="31" t="s">
        <v>75</v>
      </c>
      <c r="J20" s="32">
        <v>0.2717</v>
      </c>
    </row>
    <row r="21" spans="1:15" ht="20.100000000000001" customHeight="1" x14ac:dyDescent="0.2">
      <c r="A21" s="18"/>
      <c r="B21" s="19"/>
      <c r="C21" s="19"/>
      <c r="E21" s="27" t="s">
        <v>37</v>
      </c>
      <c r="F21" s="28"/>
      <c r="G21" s="29" t="s">
        <v>74</v>
      </c>
      <c r="H21" s="33">
        <v>6.9999999999999999E-4</v>
      </c>
      <c r="I21" s="31" t="s">
        <v>75</v>
      </c>
      <c r="J21" s="34">
        <v>1.0510999999999999</v>
      </c>
    </row>
    <row r="22" spans="1:15" ht="20.100000000000001" customHeight="1" x14ac:dyDescent="0.2">
      <c r="A22" s="18"/>
      <c r="B22" s="19"/>
      <c r="C22" s="19"/>
      <c r="E22" s="35" t="s">
        <v>26</v>
      </c>
      <c r="M22" s="36"/>
    </row>
    <row r="23" spans="1:15" ht="13.5" customHeight="1" x14ac:dyDescent="0.15">
      <c r="A23" s="178" t="s">
        <v>78</v>
      </c>
      <c r="B23" s="179"/>
      <c r="C23" s="180"/>
      <c r="D23" s="181" t="s">
        <v>15</v>
      </c>
      <c r="E23" s="181" t="s">
        <v>16</v>
      </c>
      <c r="F23" s="181" t="s">
        <v>23</v>
      </c>
      <c r="G23" s="37"/>
      <c r="H23" s="193" t="s">
        <v>73</v>
      </c>
      <c r="I23" s="195" t="s">
        <v>72</v>
      </c>
      <c r="J23" s="196"/>
      <c r="K23" s="196"/>
      <c r="L23" s="196"/>
      <c r="M23" s="187"/>
      <c r="N23" s="187"/>
      <c r="O23" s="187"/>
    </row>
    <row r="24" spans="1:15" x14ac:dyDescent="0.15">
      <c r="A24" s="38" t="s">
        <v>27</v>
      </c>
      <c r="B24" s="39" t="s">
        <v>28</v>
      </c>
      <c r="C24" s="40" t="s">
        <v>25</v>
      </c>
      <c r="D24" s="182"/>
      <c r="E24" s="182"/>
      <c r="F24" s="182"/>
      <c r="G24" s="37"/>
      <c r="H24" s="194"/>
      <c r="I24" s="195"/>
      <c r="J24" s="196"/>
      <c r="K24" s="196"/>
      <c r="L24" s="196"/>
      <c r="M24" s="145"/>
      <c r="N24" s="145"/>
      <c r="O24" s="145"/>
    </row>
    <row r="25" spans="1:15" x14ac:dyDescent="0.15">
      <c r="A25" s="41">
        <v>300</v>
      </c>
      <c r="B25" s="42">
        <f t="shared" ref="B25:B41" si="0">ROUND((C25-A25)/2+A25,0)</f>
        <v>350</v>
      </c>
      <c r="C25" s="41">
        <v>400</v>
      </c>
      <c r="D25" s="43">
        <f>ROUND($H$20*B25+$J$20,1)</f>
        <v>10.4</v>
      </c>
      <c r="E25" s="43">
        <f>IF(ROUND($H$21*B25+$J$21,1)&lt;1,1,(IF(ROUND($H$21*B25+$J$21,1)&gt;2,2,(ROUND($H$21*B25+$J$21,1)))))</f>
        <v>1.3</v>
      </c>
      <c r="F25" s="146"/>
      <c r="H25" s="44">
        <f t="shared" ref="H25:H41" si="1">ROUND((((D25*2)/2.7)/3.3)*2,1)</f>
        <v>4.7</v>
      </c>
      <c r="M25" s="137"/>
      <c r="N25" s="137"/>
      <c r="O25" s="137"/>
    </row>
    <row r="26" spans="1:15" x14ac:dyDescent="0.15">
      <c r="A26" s="41">
        <v>400.5</v>
      </c>
      <c r="B26" s="42">
        <f t="shared" si="0"/>
        <v>450</v>
      </c>
      <c r="C26" s="41">
        <v>500</v>
      </c>
      <c r="D26" s="43">
        <f t="shared" ref="D26:D41" si="2">ROUND($H$20*B26+$J$20,1)</f>
        <v>13.2</v>
      </c>
      <c r="E26" s="43">
        <f t="shared" ref="E26:E41" si="3">IF(ROUND($H$21*B26+$J$21,1)&lt;1,1,(IF(ROUND($H$21*B26+$J$21,1)&gt;2,2,(ROUND($H$21*B26+$J$21,1)))))</f>
        <v>1.4</v>
      </c>
      <c r="F26" s="146"/>
      <c r="H26" s="44">
        <f t="shared" si="1"/>
        <v>5.9</v>
      </c>
      <c r="M26" s="137"/>
      <c r="N26" s="137"/>
      <c r="O26" s="137"/>
    </row>
    <row r="27" spans="1:15" x14ac:dyDescent="0.15">
      <c r="A27" s="41">
        <v>500.5</v>
      </c>
      <c r="B27" s="42">
        <f t="shared" si="0"/>
        <v>550</v>
      </c>
      <c r="C27" s="41">
        <v>600</v>
      </c>
      <c r="D27" s="43">
        <f t="shared" si="2"/>
        <v>16.100000000000001</v>
      </c>
      <c r="E27" s="43">
        <f t="shared" si="3"/>
        <v>1.4</v>
      </c>
      <c r="F27" s="146"/>
      <c r="H27" s="44">
        <f t="shared" si="1"/>
        <v>7.2</v>
      </c>
      <c r="M27" s="137"/>
      <c r="N27" s="137"/>
      <c r="O27" s="137"/>
    </row>
    <row r="28" spans="1:15" x14ac:dyDescent="0.15">
      <c r="A28" s="41">
        <v>600.5</v>
      </c>
      <c r="B28" s="42">
        <f t="shared" si="0"/>
        <v>650</v>
      </c>
      <c r="C28" s="41">
        <v>700</v>
      </c>
      <c r="D28" s="43">
        <f t="shared" si="2"/>
        <v>19</v>
      </c>
      <c r="E28" s="43">
        <f t="shared" si="3"/>
        <v>1.5</v>
      </c>
      <c r="F28" s="146"/>
      <c r="H28" s="44">
        <f t="shared" si="1"/>
        <v>8.5</v>
      </c>
      <c r="M28" s="137"/>
      <c r="N28" s="137"/>
      <c r="O28" s="137"/>
    </row>
    <row r="29" spans="1:15" x14ac:dyDescent="0.15">
      <c r="A29" s="41">
        <v>700.5</v>
      </c>
      <c r="B29" s="42">
        <f t="shared" si="0"/>
        <v>750</v>
      </c>
      <c r="C29" s="41">
        <v>800</v>
      </c>
      <c r="D29" s="43">
        <f t="shared" si="2"/>
        <v>21.9</v>
      </c>
      <c r="E29" s="43">
        <f t="shared" si="3"/>
        <v>1.6</v>
      </c>
      <c r="F29" s="146"/>
      <c r="H29" s="44">
        <f t="shared" si="1"/>
        <v>9.8000000000000007</v>
      </c>
      <c r="M29" s="137"/>
      <c r="N29" s="137"/>
      <c r="O29" s="137"/>
    </row>
    <row r="30" spans="1:15" x14ac:dyDescent="0.15">
      <c r="A30" s="41">
        <v>800.5</v>
      </c>
      <c r="B30" s="42">
        <f t="shared" si="0"/>
        <v>850</v>
      </c>
      <c r="C30" s="41">
        <v>900</v>
      </c>
      <c r="D30" s="43">
        <f t="shared" si="2"/>
        <v>24.8</v>
      </c>
      <c r="E30" s="43">
        <f t="shared" si="3"/>
        <v>1.6</v>
      </c>
      <c r="F30" s="146"/>
      <c r="H30" s="44">
        <f t="shared" si="1"/>
        <v>11.1</v>
      </c>
      <c r="M30" s="137"/>
      <c r="N30" s="137"/>
      <c r="O30" s="137"/>
    </row>
    <row r="31" spans="1:15" x14ac:dyDescent="0.15">
      <c r="A31" s="41">
        <v>900.5</v>
      </c>
      <c r="B31" s="42">
        <f t="shared" si="0"/>
        <v>950</v>
      </c>
      <c r="C31" s="41">
        <v>1000</v>
      </c>
      <c r="D31" s="43">
        <f t="shared" si="2"/>
        <v>27.6</v>
      </c>
      <c r="E31" s="43">
        <f t="shared" si="3"/>
        <v>1.7</v>
      </c>
      <c r="F31" s="146"/>
      <c r="H31" s="44">
        <f t="shared" si="1"/>
        <v>12.4</v>
      </c>
      <c r="M31" s="137"/>
      <c r="N31" s="137"/>
      <c r="O31" s="137"/>
    </row>
    <row r="32" spans="1:15" x14ac:dyDescent="0.15">
      <c r="A32" s="41">
        <v>1000.5</v>
      </c>
      <c r="B32" s="42">
        <f t="shared" si="0"/>
        <v>1050</v>
      </c>
      <c r="C32" s="41">
        <v>1100</v>
      </c>
      <c r="D32" s="43">
        <f t="shared" si="2"/>
        <v>30.5</v>
      </c>
      <c r="E32" s="43">
        <f t="shared" si="3"/>
        <v>1.8</v>
      </c>
      <c r="F32" s="146"/>
      <c r="H32" s="44">
        <f t="shared" si="1"/>
        <v>13.7</v>
      </c>
      <c r="M32" s="137"/>
      <c r="N32" s="137"/>
      <c r="O32" s="137"/>
    </row>
    <row r="33" spans="1:15" x14ac:dyDescent="0.15">
      <c r="A33" s="41">
        <v>1100.5</v>
      </c>
      <c r="B33" s="42">
        <f t="shared" si="0"/>
        <v>1150</v>
      </c>
      <c r="C33" s="41">
        <v>1200</v>
      </c>
      <c r="D33" s="43">
        <f t="shared" si="2"/>
        <v>33.4</v>
      </c>
      <c r="E33" s="43">
        <f t="shared" si="3"/>
        <v>1.9</v>
      </c>
      <c r="F33" s="146"/>
      <c r="H33" s="44">
        <f t="shared" si="1"/>
        <v>15</v>
      </c>
      <c r="M33" s="137"/>
      <c r="N33" s="137"/>
      <c r="O33" s="137"/>
    </row>
    <row r="34" spans="1:15" x14ac:dyDescent="0.15">
      <c r="A34" s="41">
        <v>1200.5</v>
      </c>
      <c r="B34" s="42">
        <f t="shared" si="0"/>
        <v>1250</v>
      </c>
      <c r="C34" s="41">
        <v>1300</v>
      </c>
      <c r="D34" s="43">
        <f t="shared" si="2"/>
        <v>36.299999999999997</v>
      </c>
      <c r="E34" s="43">
        <f t="shared" si="3"/>
        <v>1.9</v>
      </c>
      <c r="F34" s="146"/>
      <c r="H34" s="44">
        <f t="shared" si="1"/>
        <v>16.3</v>
      </c>
      <c r="M34" s="137"/>
      <c r="N34" s="137"/>
      <c r="O34" s="137"/>
    </row>
    <row r="35" spans="1:15" x14ac:dyDescent="0.15">
      <c r="A35" s="41">
        <v>1300.5</v>
      </c>
      <c r="B35" s="42">
        <f t="shared" si="0"/>
        <v>1350</v>
      </c>
      <c r="C35" s="41">
        <v>1400</v>
      </c>
      <c r="D35" s="43">
        <f t="shared" si="2"/>
        <v>39.200000000000003</v>
      </c>
      <c r="E35" s="43">
        <f t="shared" si="3"/>
        <v>2</v>
      </c>
      <c r="F35" s="146"/>
      <c r="H35" s="44">
        <f t="shared" si="1"/>
        <v>17.600000000000001</v>
      </c>
      <c r="M35" s="137"/>
      <c r="N35" s="137"/>
      <c r="O35" s="137"/>
    </row>
    <row r="36" spans="1:15" x14ac:dyDescent="0.15">
      <c r="A36" s="41">
        <v>1400.5</v>
      </c>
      <c r="B36" s="42">
        <f t="shared" si="0"/>
        <v>1450</v>
      </c>
      <c r="C36" s="41">
        <v>1500</v>
      </c>
      <c r="D36" s="43">
        <f t="shared" si="2"/>
        <v>42</v>
      </c>
      <c r="E36" s="43">
        <f t="shared" si="3"/>
        <v>2</v>
      </c>
      <c r="F36" s="146"/>
      <c r="H36" s="44">
        <f>ROUND((((D36*2)/2.7)/3.3)*2,1)</f>
        <v>18.899999999999999</v>
      </c>
      <c r="M36" s="137"/>
      <c r="N36" s="137"/>
      <c r="O36" s="137"/>
    </row>
    <row r="37" spans="1:15" x14ac:dyDescent="0.15">
      <c r="A37" s="41">
        <v>1500.5</v>
      </c>
      <c r="B37" s="42">
        <f t="shared" si="0"/>
        <v>1550</v>
      </c>
      <c r="C37" s="41">
        <v>1600</v>
      </c>
      <c r="D37" s="43">
        <f t="shared" si="2"/>
        <v>44.9</v>
      </c>
      <c r="E37" s="43">
        <f t="shared" si="3"/>
        <v>2</v>
      </c>
      <c r="F37" s="146"/>
      <c r="H37" s="44">
        <f t="shared" si="1"/>
        <v>20.2</v>
      </c>
      <c r="M37" s="137"/>
      <c r="N37" s="137"/>
      <c r="O37" s="137"/>
    </row>
    <row r="38" spans="1:15" x14ac:dyDescent="0.15">
      <c r="A38" s="41">
        <v>1600.5</v>
      </c>
      <c r="B38" s="42">
        <f t="shared" si="0"/>
        <v>1650</v>
      </c>
      <c r="C38" s="41">
        <v>1700</v>
      </c>
      <c r="D38" s="43">
        <f t="shared" si="2"/>
        <v>47.8</v>
      </c>
      <c r="E38" s="43">
        <f t="shared" si="3"/>
        <v>2</v>
      </c>
      <c r="F38" s="146"/>
      <c r="H38" s="44">
        <f t="shared" si="1"/>
        <v>21.5</v>
      </c>
      <c r="M38" s="137"/>
      <c r="N38" s="137"/>
      <c r="O38" s="137"/>
    </row>
    <row r="39" spans="1:15" x14ac:dyDescent="0.15">
      <c r="A39" s="41">
        <v>1700.5</v>
      </c>
      <c r="B39" s="42">
        <f t="shared" si="0"/>
        <v>1750</v>
      </c>
      <c r="C39" s="41">
        <v>1800</v>
      </c>
      <c r="D39" s="43">
        <f t="shared" si="2"/>
        <v>50.7</v>
      </c>
      <c r="E39" s="43">
        <f t="shared" si="3"/>
        <v>2</v>
      </c>
      <c r="F39" s="146"/>
      <c r="H39" s="44">
        <f t="shared" si="1"/>
        <v>22.8</v>
      </c>
      <c r="M39" s="137"/>
      <c r="N39" s="137"/>
      <c r="O39" s="137"/>
    </row>
    <row r="40" spans="1:15" x14ac:dyDescent="0.15">
      <c r="A40" s="41">
        <v>1800.5</v>
      </c>
      <c r="B40" s="42">
        <f t="shared" si="0"/>
        <v>1850</v>
      </c>
      <c r="C40" s="41">
        <v>1900</v>
      </c>
      <c r="D40" s="43">
        <f t="shared" si="2"/>
        <v>53.6</v>
      </c>
      <c r="E40" s="43">
        <f t="shared" si="3"/>
        <v>2</v>
      </c>
      <c r="F40" s="146"/>
      <c r="H40" s="44">
        <f t="shared" si="1"/>
        <v>24.1</v>
      </c>
      <c r="M40" s="137"/>
      <c r="N40" s="137"/>
      <c r="O40" s="137"/>
    </row>
    <row r="41" spans="1:15" x14ac:dyDescent="0.15">
      <c r="A41" s="41">
        <v>1900.5</v>
      </c>
      <c r="B41" s="42">
        <f t="shared" si="0"/>
        <v>1950</v>
      </c>
      <c r="C41" s="41">
        <v>2000</v>
      </c>
      <c r="D41" s="43">
        <f t="shared" si="2"/>
        <v>56.4</v>
      </c>
      <c r="E41" s="43">
        <f t="shared" si="3"/>
        <v>2</v>
      </c>
      <c r="F41" s="146"/>
      <c r="H41" s="44">
        <f t="shared" si="1"/>
        <v>25.3</v>
      </c>
      <c r="M41" s="137"/>
      <c r="N41" s="137"/>
      <c r="O41" s="137"/>
    </row>
    <row r="42" spans="1:15" x14ac:dyDescent="0.15">
      <c r="A42" s="41">
        <v>2000.5</v>
      </c>
      <c r="B42" s="42">
        <f>ROUND((C42-A42)/2+A42,0)</f>
        <v>2350</v>
      </c>
      <c r="C42" s="41">
        <v>2700</v>
      </c>
      <c r="D42" s="43">
        <f>ROUND($H$20*B42+$J$20,1)</f>
        <v>68</v>
      </c>
      <c r="E42" s="43">
        <f>IF(ROUND($H$21*B42+$J$21,1)&lt;1,1,(IF(ROUND($H$21*B42+$J$21,1)&gt;2,2,(ROUND($H$21*B42+$J$21,1)))))</f>
        <v>2</v>
      </c>
      <c r="F42" s="146"/>
      <c r="H42" s="44">
        <f>ROUND((((D42*2)/2.7)/3.3)*2,1)</f>
        <v>30.5</v>
      </c>
      <c r="M42" s="137"/>
      <c r="N42" s="137"/>
      <c r="O42" s="137"/>
    </row>
    <row r="43" spans="1:15" x14ac:dyDescent="0.15">
      <c r="A43" s="139"/>
      <c r="B43" s="137"/>
      <c r="C43" s="139"/>
      <c r="D43" s="140"/>
      <c r="E43" s="140"/>
      <c r="F43" s="141"/>
      <c r="H43" s="138"/>
      <c r="M43" s="137"/>
      <c r="N43" s="137"/>
      <c r="O43" s="137"/>
    </row>
  </sheetData>
  <mergeCells count="13">
    <mergeCell ref="M23:O23"/>
    <mergeCell ref="E23:E24"/>
    <mergeCell ref="D23:D24"/>
    <mergeCell ref="I14:J14"/>
    <mergeCell ref="J1:L1"/>
    <mergeCell ref="H23:H24"/>
    <mergeCell ref="I23:L24"/>
    <mergeCell ref="A23:C23"/>
    <mergeCell ref="F23:F24"/>
    <mergeCell ref="A14:C14"/>
    <mergeCell ref="A15:C15"/>
    <mergeCell ref="A16:C16"/>
    <mergeCell ref="A17:C17"/>
  </mergeCells>
  <phoneticPr fontId="1"/>
  <pageMargins left="0.75" right="0.75" top="1" bottom="1" header="0.51200000000000001" footer="0.51200000000000001"/>
  <pageSetup paperSize="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2"/>
  <sheetViews>
    <sheetView showGridLines="0" topLeftCell="A4" zoomScale="75" workbookViewId="0">
      <selection activeCell="P44" sqref="P44"/>
    </sheetView>
  </sheetViews>
  <sheetFormatPr defaultColWidth="9" defaultRowHeight="13.5" x14ac:dyDescent="0.15"/>
  <cols>
    <col min="1" max="1" width="3.625" style="46" customWidth="1"/>
    <col min="2" max="9" width="8.125" style="46" customWidth="1"/>
    <col min="10" max="10" width="6.625" style="46" customWidth="1"/>
    <col min="11" max="11" width="11.625" style="46" customWidth="1"/>
    <col min="12" max="12" width="5.625" style="46" customWidth="1"/>
    <col min="13" max="13" width="4.625" style="46" customWidth="1"/>
    <col min="14" max="16384" width="9" style="46"/>
  </cols>
  <sheetData>
    <row r="1" spans="1:12" ht="21.95" customHeight="1" x14ac:dyDescent="0.15">
      <c r="A1" s="45" t="s">
        <v>18</v>
      </c>
      <c r="B1" s="45"/>
      <c r="C1" s="45"/>
      <c r="F1" s="190" t="s">
        <v>34</v>
      </c>
      <c r="G1" s="191"/>
      <c r="H1" s="192"/>
      <c r="J1" s="47" t="str">
        <f>測定データ!B10</f>
        <v>20101208/20230328</v>
      </c>
      <c r="K1" s="48"/>
      <c r="L1" s="48"/>
    </row>
    <row r="2" spans="1:12" s="49" customFormat="1" ht="21.95" customHeight="1" x14ac:dyDescent="0.15"/>
    <row r="3" spans="1:12" s="49" customFormat="1" ht="21.95" customHeight="1" x14ac:dyDescent="0.15">
      <c r="A3" s="49" t="s">
        <v>19</v>
      </c>
      <c r="C3" s="200" t="str">
        <f>測定データ!B7</f>
        <v>樹脂製内窓用内窓ブレス,  内窓ブレス音感知</v>
      </c>
      <c r="D3" s="200"/>
      <c r="E3" s="200"/>
      <c r="F3" s="200"/>
      <c r="G3" s="200"/>
      <c r="H3" s="200"/>
      <c r="I3" s="200"/>
      <c r="J3" s="47" t="s">
        <v>33</v>
      </c>
      <c r="K3" s="47"/>
      <c r="L3" s="47"/>
    </row>
    <row r="4" spans="1:12" s="49" customFormat="1" ht="21.95" customHeight="1" x14ac:dyDescent="0.15">
      <c r="A4" s="49" t="s">
        <v>32</v>
      </c>
      <c r="C4" s="49" t="str">
        <f>測定データ!B8</f>
        <v>ｳﾁﾏﾄﾞﾌﾞﾚｽ,  ウチマドブレス-K</v>
      </c>
      <c r="J4" s="47" t="str">
        <f>測定データ!B9</f>
        <v>佐々木直美/工藤・石川</v>
      </c>
      <c r="K4" s="47"/>
      <c r="L4" s="47"/>
    </row>
    <row r="5" spans="1:12" s="49" customFormat="1" ht="21.95" customHeight="1" x14ac:dyDescent="0.15"/>
    <row r="6" spans="1:12" s="49" customFormat="1" ht="21.95" customHeight="1" thickBot="1" x14ac:dyDescent="0.2"/>
    <row r="7" spans="1:12" s="49" customFormat="1" ht="30" customHeight="1" x14ac:dyDescent="0.15">
      <c r="A7" s="197" t="s">
        <v>45</v>
      </c>
      <c r="B7" s="50" t="s">
        <v>79</v>
      </c>
      <c r="C7" s="51"/>
      <c r="D7" s="52" t="s">
        <v>4</v>
      </c>
      <c r="E7" s="53" t="s">
        <v>20</v>
      </c>
      <c r="F7" s="53" t="s">
        <v>21</v>
      </c>
      <c r="G7" s="53" t="s">
        <v>22</v>
      </c>
      <c r="H7" s="54" t="s">
        <v>7</v>
      </c>
      <c r="I7" s="54" t="s">
        <v>10</v>
      </c>
      <c r="J7" s="55" t="s">
        <v>0</v>
      </c>
      <c r="K7" s="56"/>
      <c r="L7" s="57"/>
    </row>
    <row r="8" spans="1:12" s="49" customFormat="1" ht="21.95" customHeight="1" x14ac:dyDescent="0.15">
      <c r="A8" s="198"/>
      <c r="B8" s="58" t="s">
        <v>80</v>
      </c>
      <c r="C8" s="59"/>
      <c r="D8" s="60" t="s">
        <v>46</v>
      </c>
      <c r="E8" s="61" t="s">
        <v>47</v>
      </c>
      <c r="F8" s="61" t="s">
        <v>48</v>
      </c>
      <c r="G8" s="61" t="s">
        <v>49</v>
      </c>
      <c r="H8" s="61" t="s">
        <v>50</v>
      </c>
      <c r="I8" s="61" t="s">
        <v>51</v>
      </c>
      <c r="J8" s="62" t="s">
        <v>52</v>
      </c>
      <c r="K8" s="63"/>
      <c r="L8" s="64"/>
    </row>
    <row r="9" spans="1:12" s="49" customFormat="1" ht="21.95" customHeight="1" thickBot="1" x14ac:dyDescent="0.2">
      <c r="A9" s="199"/>
      <c r="B9" s="65" t="s">
        <v>81</v>
      </c>
      <c r="C9" s="66" t="s">
        <v>82</v>
      </c>
      <c r="D9" s="67" t="s">
        <v>53</v>
      </c>
      <c r="E9" s="68" t="s">
        <v>54</v>
      </c>
      <c r="F9" s="67"/>
      <c r="G9" s="67" t="s">
        <v>55</v>
      </c>
      <c r="H9" s="67" t="s">
        <v>53</v>
      </c>
      <c r="I9" s="67"/>
      <c r="J9" s="69" t="s">
        <v>56</v>
      </c>
      <c r="K9" s="70"/>
      <c r="L9" s="71"/>
    </row>
    <row r="10" spans="1:12" s="49" customFormat="1" ht="21.95" customHeight="1" x14ac:dyDescent="0.15">
      <c r="A10" s="72">
        <v>1</v>
      </c>
      <c r="B10" s="73">
        <f>測定データ!A25</f>
        <v>300</v>
      </c>
      <c r="C10" s="74">
        <f>測定データ!C25</f>
        <v>400</v>
      </c>
      <c r="D10" s="75" t="str">
        <f>IF(測定データ!F25="","",測定データ!F25)</f>
        <v/>
      </c>
      <c r="E10" s="76">
        <f>測定データ!D25</f>
        <v>10.4</v>
      </c>
      <c r="F10" s="75">
        <f>測定データ!E25</f>
        <v>1.3</v>
      </c>
      <c r="G10" s="77" t="str">
        <f>IF(D10="","",ROUND(E10/(D10*0.0001)/3600,2))</f>
        <v/>
      </c>
      <c r="H10" s="78">
        <f>ROUND(1/(0.36*((2*9.8)/(353/(273+測定データ!$I$14)))^0.5)*E10,1)</f>
        <v>7.3</v>
      </c>
      <c r="I10" s="77" t="str">
        <f>IF(G10="","",ROUND((2*9.8)/((353/(273+測定データ!$I$14))*G10^2),1))</f>
        <v/>
      </c>
      <c r="J10" s="79">
        <f>E10</f>
        <v>10.4</v>
      </c>
      <c r="K10" s="80" t="s">
        <v>57</v>
      </c>
      <c r="L10" s="81">
        <f>ROUND(1/F10,2)</f>
        <v>0.77</v>
      </c>
    </row>
    <row r="11" spans="1:12" s="49" customFormat="1" ht="21.95" customHeight="1" x14ac:dyDescent="0.15">
      <c r="A11" s="82">
        <v>2</v>
      </c>
      <c r="B11" s="83">
        <f>測定データ!A26</f>
        <v>400.5</v>
      </c>
      <c r="C11" s="84">
        <f>測定データ!C26</f>
        <v>500</v>
      </c>
      <c r="D11" s="85" t="str">
        <f>IF(測定データ!F26="","",測定データ!F26)</f>
        <v/>
      </c>
      <c r="E11" s="86">
        <f>測定データ!D26</f>
        <v>13.2</v>
      </c>
      <c r="F11" s="85">
        <f>測定データ!E26</f>
        <v>1.4</v>
      </c>
      <c r="G11" s="87" t="str">
        <f>IF(D11="","",ROUND(E11/(D11*0.0001)/3600,2))</f>
        <v/>
      </c>
      <c r="H11" s="88">
        <f>ROUND(1/(0.36*((2*9.8)/(353/(273+測定データ!$I$14)))^0.5)*E11,1)</f>
        <v>9.3000000000000007</v>
      </c>
      <c r="I11" s="87" t="str">
        <f>IF(G11="","",ROUND((2*9.8)/((353/(273+測定データ!$I$14))*G11^2),1))</f>
        <v/>
      </c>
      <c r="J11" s="89">
        <f>E11</f>
        <v>13.2</v>
      </c>
      <c r="K11" s="90" t="s">
        <v>57</v>
      </c>
      <c r="L11" s="91">
        <f>ROUND(1/F11,2)</f>
        <v>0.71</v>
      </c>
    </row>
    <row r="12" spans="1:12" s="49" customFormat="1" ht="21.95" customHeight="1" x14ac:dyDescent="0.15">
      <c r="A12" s="82">
        <v>3</v>
      </c>
      <c r="B12" s="83">
        <f>測定データ!A27</f>
        <v>500.5</v>
      </c>
      <c r="C12" s="84">
        <f>測定データ!C27</f>
        <v>600</v>
      </c>
      <c r="D12" s="85" t="str">
        <f>IF(測定データ!F27="","",測定データ!F27)</f>
        <v/>
      </c>
      <c r="E12" s="86">
        <f>測定データ!D27</f>
        <v>16.100000000000001</v>
      </c>
      <c r="F12" s="85">
        <f>測定データ!E27</f>
        <v>1.4</v>
      </c>
      <c r="G12" s="87" t="str">
        <f>IF(D12="","",ROUND(E12/(D12*0.0001)/3600,2))</f>
        <v/>
      </c>
      <c r="H12" s="88">
        <f>ROUND(1/(0.36*((2*9.8)/(353/(273+測定データ!$I$14)))^0.5)*E12,1)</f>
        <v>11.3</v>
      </c>
      <c r="I12" s="87" t="str">
        <f>IF(G12="","",ROUND((2*9.8)/((353/(273+測定データ!$I$14))*G12^2),1))</f>
        <v/>
      </c>
      <c r="J12" s="89">
        <f>E12</f>
        <v>16.100000000000001</v>
      </c>
      <c r="K12" s="90" t="s">
        <v>93</v>
      </c>
      <c r="L12" s="91">
        <f>ROUND(1/F12,2)</f>
        <v>0.71</v>
      </c>
    </row>
    <row r="13" spans="1:12" s="49" customFormat="1" ht="21.95" customHeight="1" x14ac:dyDescent="0.15">
      <c r="A13" s="82">
        <v>4</v>
      </c>
      <c r="B13" s="83">
        <f>測定データ!A28</f>
        <v>600.5</v>
      </c>
      <c r="C13" s="84">
        <f>測定データ!C28</f>
        <v>700</v>
      </c>
      <c r="D13" s="85" t="str">
        <f>IF(測定データ!F28="","",測定データ!F28)</f>
        <v/>
      </c>
      <c r="E13" s="86">
        <f>測定データ!D28</f>
        <v>19</v>
      </c>
      <c r="F13" s="85">
        <f>測定データ!E28</f>
        <v>1.5</v>
      </c>
      <c r="G13" s="87" t="str">
        <f>IF(D13="","",ROUND(E13/(D13*0.0001)/3600,2))</f>
        <v/>
      </c>
      <c r="H13" s="88">
        <f>ROUND(1/(0.36*((2*9.8)/(353/(273+測定データ!$I$14)))^0.5)*E13,1)</f>
        <v>13.3</v>
      </c>
      <c r="I13" s="87" t="str">
        <f>IF(G13="","",ROUND((2*9.8)/((353/(273+測定データ!$I$14))*G13^2),1))</f>
        <v/>
      </c>
      <c r="J13" s="89">
        <f>E13</f>
        <v>19</v>
      </c>
      <c r="K13" s="90" t="s">
        <v>93</v>
      </c>
      <c r="L13" s="91">
        <f>ROUND(1/F13,2)</f>
        <v>0.67</v>
      </c>
    </row>
    <row r="14" spans="1:12" s="49" customFormat="1" ht="21.95" customHeight="1" x14ac:dyDescent="0.15">
      <c r="A14" s="82">
        <v>5</v>
      </c>
      <c r="B14" s="83">
        <f>測定データ!A29</f>
        <v>700.5</v>
      </c>
      <c r="C14" s="84">
        <f>測定データ!C29</f>
        <v>800</v>
      </c>
      <c r="D14" s="85" t="str">
        <f>IF(測定データ!F29="","",測定データ!F29)</f>
        <v/>
      </c>
      <c r="E14" s="86">
        <f>測定データ!D29</f>
        <v>21.9</v>
      </c>
      <c r="F14" s="85">
        <f>測定データ!E29</f>
        <v>1.6</v>
      </c>
      <c r="G14" s="87" t="str">
        <f t="shared" ref="G14:G21" si="0">IF(D14="","",ROUND(E14/(D14*0.0001)/3600,2))</f>
        <v/>
      </c>
      <c r="H14" s="88">
        <f>ROUND(1/(0.36*((2*9.8)/(353/(273+測定データ!$I$14)))^0.5)*E14,1)</f>
        <v>15.4</v>
      </c>
      <c r="I14" s="87" t="str">
        <f>IF(G14="","",ROUND((2*9.8)/((353/(273+測定データ!$I$14))*G14^2),1))</f>
        <v/>
      </c>
      <c r="J14" s="89">
        <f t="shared" ref="J14:J21" si="1">E14</f>
        <v>21.9</v>
      </c>
      <c r="K14" s="90" t="s">
        <v>93</v>
      </c>
      <c r="L14" s="91">
        <f t="shared" ref="L14:L21" si="2">ROUND(1/F14,2)</f>
        <v>0.63</v>
      </c>
    </row>
    <row r="15" spans="1:12" s="49" customFormat="1" ht="21.95" customHeight="1" x14ac:dyDescent="0.15">
      <c r="A15" s="82">
        <v>6</v>
      </c>
      <c r="B15" s="83">
        <f>測定データ!A30</f>
        <v>800.5</v>
      </c>
      <c r="C15" s="84">
        <f>測定データ!C30</f>
        <v>900</v>
      </c>
      <c r="D15" s="85" t="str">
        <f>IF(測定データ!F30="","",測定データ!F30)</f>
        <v/>
      </c>
      <c r="E15" s="86">
        <f>測定データ!D30</f>
        <v>24.8</v>
      </c>
      <c r="F15" s="85">
        <f>測定データ!E30</f>
        <v>1.6</v>
      </c>
      <c r="G15" s="87" t="str">
        <f t="shared" si="0"/>
        <v/>
      </c>
      <c r="H15" s="88">
        <f>ROUND(1/(0.36*((2*9.8)/(353/(273+測定データ!$I$14)))^0.5)*E15,1)</f>
        <v>17.399999999999999</v>
      </c>
      <c r="I15" s="87" t="str">
        <f>IF(G15="","",ROUND((2*9.8)/((353/(273+測定データ!$I$14))*G15^2),1))</f>
        <v/>
      </c>
      <c r="J15" s="89">
        <f t="shared" si="1"/>
        <v>24.8</v>
      </c>
      <c r="K15" s="90" t="s">
        <v>93</v>
      </c>
      <c r="L15" s="91">
        <f t="shared" si="2"/>
        <v>0.63</v>
      </c>
    </row>
    <row r="16" spans="1:12" s="49" customFormat="1" ht="21.95" customHeight="1" x14ac:dyDescent="0.15">
      <c r="A16" s="82">
        <v>7</v>
      </c>
      <c r="B16" s="83">
        <f>測定データ!A31</f>
        <v>900.5</v>
      </c>
      <c r="C16" s="84">
        <f>測定データ!C31</f>
        <v>1000</v>
      </c>
      <c r="D16" s="85" t="str">
        <f>IF(測定データ!F31="","",測定データ!F31)</f>
        <v/>
      </c>
      <c r="E16" s="86">
        <f>測定データ!D31</f>
        <v>27.6</v>
      </c>
      <c r="F16" s="85">
        <f>測定データ!E31</f>
        <v>1.7</v>
      </c>
      <c r="G16" s="87" t="str">
        <f t="shared" si="0"/>
        <v/>
      </c>
      <c r="H16" s="88">
        <f>ROUND(1/(0.36*((2*9.8)/(353/(273+測定データ!$I$14)))^0.5)*E16,1)</f>
        <v>19.399999999999999</v>
      </c>
      <c r="I16" s="87" t="str">
        <f>IF(G16="","",ROUND((2*9.8)/((353/(273+測定データ!$I$14))*G16^2),1))</f>
        <v/>
      </c>
      <c r="J16" s="89">
        <f t="shared" si="1"/>
        <v>27.6</v>
      </c>
      <c r="K16" s="90" t="s">
        <v>93</v>
      </c>
      <c r="L16" s="91">
        <f t="shared" si="2"/>
        <v>0.59</v>
      </c>
    </row>
    <row r="17" spans="1:17" s="49" customFormat="1" ht="21.95" customHeight="1" x14ac:dyDescent="0.15">
      <c r="A17" s="82">
        <v>8</v>
      </c>
      <c r="B17" s="83">
        <f>測定データ!A32</f>
        <v>1000.5</v>
      </c>
      <c r="C17" s="84">
        <f>測定データ!C32</f>
        <v>1100</v>
      </c>
      <c r="D17" s="85" t="str">
        <f>IF(測定データ!F32="","",測定データ!F32)</f>
        <v/>
      </c>
      <c r="E17" s="86">
        <f>測定データ!D32</f>
        <v>30.5</v>
      </c>
      <c r="F17" s="85">
        <f>測定データ!E32</f>
        <v>1.8</v>
      </c>
      <c r="G17" s="87" t="str">
        <f t="shared" si="0"/>
        <v/>
      </c>
      <c r="H17" s="88">
        <f>ROUND(1/(0.36*((2*9.8)/(353/(273+測定データ!$I$14)))^0.5)*E17,1)</f>
        <v>21.4</v>
      </c>
      <c r="I17" s="87" t="str">
        <f>IF(G17="","",ROUND((2*9.8)/((353/(273+測定データ!$I$14))*G17^2),1))</f>
        <v/>
      </c>
      <c r="J17" s="89">
        <f t="shared" si="1"/>
        <v>30.5</v>
      </c>
      <c r="K17" s="90" t="s">
        <v>93</v>
      </c>
      <c r="L17" s="91">
        <f t="shared" si="2"/>
        <v>0.56000000000000005</v>
      </c>
    </row>
    <row r="18" spans="1:17" s="49" customFormat="1" ht="21.95" customHeight="1" x14ac:dyDescent="0.15">
      <c r="A18" s="82">
        <v>9</v>
      </c>
      <c r="B18" s="83">
        <f>測定データ!A33</f>
        <v>1100.5</v>
      </c>
      <c r="C18" s="84">
        <f>測定データ!C33</f>
        <v>1200</v>
      </c>
      <c r="D18" s="85" t="str">
        <f>IF(測定データ!F33="","",測定データ!F33)</f>
        <v/>
      </c>
      <c r="E18" s="86">
        <f>測定データ!D33</f>
        <v>33.4</v>
      </c>
      <c r="F18" s="85">
        <f>測定データ!E33</f>
        <v>1.9</v>
      </c>
      <c r="G18" s="87" t="str">
        <f t="shared" si="0"/>
        <v/>
      </c>
      <c r="H18" s="88">
        <f>ROUND(1/(0.36*((2*9.8)/(353/(273+測定データ!$I$14)))^0.5)*E18,1)</f>
        <v>23.4</v>
      </c>
      <c r="I18" s="87" t="str">
        <f>IF(G18="","",ROUND((2*9.8)/((353/(273+測定データ!$I$14))*G18^2),1))</f>
        <v/>
      </c>
      <c r="J18" s="89">
        <f t="shared" si="1"/>
        <v>33.4</v>
      </c>
      <c r="K18" s="90" t="s">
        <v>93</v>
      </c>
      <c r="L18" s="91">
        <f t="shared" si="2"/>
        <v>0.53</v>
      </c>
    </row>
    <row r="19" spans="1:17" s="49" customFormat="1" ht="21.95" customHeight="1" x14ac:dyDescent="0.15">
      <c r="A19" s="82">
        <v>10</v>
      </c>
      <c r="B19" s="83">
        <f>測定データ!A34</f>
        <v>1200.5</v>
      </c>
      <c r="C19" s="84">
        <f>測定データ!C34</f>
        <v>1300</v>
      </c>
      <c r="D19" s="85" t="str">
        <f>IF(測定データ!F34="","",測定データ!F34)</f>
        <v/>
      </c>
      <c r="E19" s="86">
        <f>測定データ!D34</f>
        <v>36.299999999999997</v>
      </c>
      <c r="F19" s="85">
        <f>測定データ!E34</f>
        <v>1.9</v>
      </c>
      <c r="G19" s="87" t="str">
        <f t="shared" si="0"/>
        <v/>
      </c>
      <c r="H19" s="88">
        <f>ROUND(1/(0.36*((2*9.8)/(353/(273+測定データ!$I$14)))^0.5)*E19,1)</f>
        <v>25.5</v>
      </c>
      <c r="I19" s="87" t="str">
        <f>IF(G19="","",ROUND((2*9.8)/((353/(273+測定データ!$I$14))*G19^2),1))</f>
        <v/>
      </c>
      <c r="J19" s="89">
        <f t="shared" si="1"/>
        <v>36.299999999999997</v>
      </c>
      <c r="K19" s="90" t="s">
        <v>93</v>
      </c>
      <c r="L19" s="91">
        <f t="shared" si="2"/>
        <v>0.53</v>
      </c>
    </row>
    <row r="20" spans="1:17" s="49" customFormat="1" ht="21.95" customHeight="1" x14ac:dyDescent="0.15">
      <c r="A20" s="82">
        <v>11</v>
      </c>
      <c r="B20" s="83">
        <f>測定データ!A35</f>
        <v>1300.5</v>
      </c>
      <c r="C20" s="84">
        <f>測定データ!C35</f>
        <v>1400</v>
      </c>
      <c r="D20" s="85" t="str">
        <f>IF(測定データ!F35="","",測定データ!F35)</f>
        <v/>
      </c>
      <c r="E20" s="86">
        <f>測定データ!D35</f>
        <v>39.200000000000003</v>
      </c>
      <c r="F20" s="85">
        <f>測定データ!E35</f>
        <v>2</v>
      </c>
      <c r="G20" s="87" t="str">
        <f t="shared" si="0"/>
        <v/>
      </c>
      <c r="H20" s="88">
        <f>ROUND(1/(0.36*((2*9.8)/(353/(273+測定データ!$I$14)))^0.5)*E20,1)</f>
        <v>27.5</v>
      </c>
      <c r="I20" s="87" t="str">
        <f>IF(G20="","",ROUND((2*9.8)/((353/(273+測定データ!$I$14))*G20^2),1))</f>
        <v/>
      </c>
      <c r="J20" s="89">
        <f t="shared" si="1"/>
        <v>39.200000000000003</v>
      </c>
      <c r="K20" s="90" t="s">
        <v>93</v>
      </c>
      <c r="L20" s="91">
        <f t="shared" si="2"/>
        <v>0.5</v>
      </c>
    </row>
    <row r="21" spans="1:17" s="49" customFormat="1" ht="21.95" customHeight="1" thickBot="1" x14ac:dyDescent="0.2">
      <c r="A21" s="92">
        <v>12</v>
      </c>
      <c r="B21" s="93">
        <f>測定データ!A36</f>
        <v>1400.5</v>
      </c>
      <c r="C21" s="94">
        <f>測定データ!C36</f>
        <v>1500</v>
      </c>
      <c r="D21" s="95" t="str">
        <f>IF(測定データ!F36="","",測定データ!F36)</f>
        <v/>
      </c>
      <c r="E21" s="96">
        <f>測定データ!D36</f>
        <v>42</v>
      </c>
      <c r="F21" s="95">
        <f>測定データ!E36</f>
        <v>2</v>
      </c>
      <c r="G21" s="97" t="str">
        <f t="shared" si="0"/>
        <v/>
      </c>
      <c r="H21" s="98">
        <f>ROUND(1/(0.36*((2*9.8)/(353/(273+測定データ!$I$14)))^0.5)*E21,1)</f>
        <v>29.5</v>
      </c>
      <c r="I21" s="97" t="str">
        <f>IF(G21="","",ROUND((2*9.8)/((353/(273+測定データ!$I$14))*G21^2),1))</f>
        <v/>
      </c>
      <c r="J21" s="99">
        <f t="shared" si="1"/>
        <v>42</v>
      </c>
      <c r="K21" s="100" t="s">
        <v>93</v>
      </c>
      <c r="L21" s="101">
        <f t="shared" si="2"/>
        <v>0.5</v>
      </c>
    </row>
    <row r="22" spans="1:17" s="49" customFormat="1" ht="21.95" customHeight="1" x14ac:dyDescent="0.15">
      <c r="A22" s="82">
        <v>13</v>
      </c>
      <c r="B22" s="83">
        <f>測定データ!A37</f>
        <v>1500.5</v>
      </c>
      <c r="C22" s="84">
        <f>測定データ!C37</f>
        <v>1600</v>
      </c>
      <c r="D22" s="85" t="str">
        <f>IF(測定データ!F37="","",測定データ!F37)</f>
        <v/>
      </c>
      <c r="E22" s="86">
        <f>測定データ!D37</f>
        <v>44.9</v>
      </c>
      <c r="F22" s="85">
        <f>測定データ!E37</f>
        <v>2</v>
      </c>
      <c r="G22" s="87" t="str">
        <f t="shared" ref="G22:G27" si="3">IF(D22="","",ROUND(E22/(D22*0.0001)/3600,2))</f>
        <v/>
      </c>
      <c r="H22" s="88">
        <f>ROUND(1/(0.36*((2*9.8)/(353/(273+測定データ!$I$14)))^0.5)*E22,1)</f>
        <v>31.5</v>
      </c>
      <c r="I22" s="87" t="str">
        <f>IF(G22="","",ROUND((2*9.8)/((353/(273+測定データ!$I$14))*G22^2),1))</f>
        <v/>
      </c>
      <c r="J22" s="89">
        <f t="shared" ref="J22:J27" si="4">E22</f>
        <v>44.9</v>
      </c>
      <c r="K22" s="90" t="s">
        <v>93</v>
      </c>
      <c r="L22" s="91">
        <f t="shared" ref="L22:L27" si="5">ROUND(1/F22,2)</f>
        <v>0.5</v>
      </c>
    </row>
    <row r="23" spans="1:17" s="49" customFormat="1" ht="21.95" customHeight="1" x14ac:dyDescent="0.15">
      <c r="A23" s="82">
        <v>14</v>
      </c>
      <c r="B23" s="83">
        <f>測定データ!A38</f>
        <v>1600.5</v>
      </c>
      <c r="C23" s="84">
        <f>測定データ!C38</f>
        <v>1700</v>
      </c>
      <c r="D23" s="85" t="str">
        <f>IF(測定データ!F38="","",測定データ!F38)</f>
        <v/>
      </c>
      <c r="E23" s="86">
        <f>測定データ!D38</f>
        <v>47.8</v>
      </c>
      <c r="F23" s="85">
        <f>測定データ!E38</f>
        <v>2</v>
      </c>
      <c r="G23" s="87" t="str">
        <f t="shared" si="3"/>
        <v/>
      </c>
      <c r="H23" s="88">
        <f>ROUND(1/(0.36*((2*9.8)/(353/(273+測定データ!$I$14)))^0.5)*E23,1)</f>
        <v>33.5</v>
      </c>
      <c r="I23" s="87" t="str">
        <f>IF(G23="","",ROUND((2*9.8)/((353/(273+測定データ!$I$14))*G23^2),1))</f>
        <v/>
      </c>
      <c r="J23" s="89">
        <f t="shared" si="4"/>
        <v>47.8</v>
      </c>
      <c r="K23" s="90" t="s">
        <v>93</v>
      </c>
      <c r="L23" s="91">
        <f t="shared" si="5"/>
        <v>0.5</v>
      </c>
    </row>
    <row r="24" spans="1:17" s="49" customFormat="1" ht="21.95" customHeight="1" thickBot="1" x14ac:dyDescent="0.2">
      <c r="A24" s="92">
        <v>15</v>
      </c>
      <c r="B24" s="93">
        <f>測定データ!A39</f>
        <v>1700.5</v>
      </c>
      <c r="C24" s="94">
        <f>測定データ!C39</f>
        <v>1800</v>
      </c>
      <c r="D24" s="95" t="str">
        <f>IF(測定データ!F39="","",測定データ!F39)</f>
        <v/>
      </c>
      <c r="E24" s="96">
        <f>測定データ!D39</f>
        <v>50.7</v>
      </c>
      <c r="F24" s="95">
        <f>測定データ!E39</f>
        <v>2</v>
      </c>
      <c r="G24" s="97" t="str">
        <f t="shared" si="3"/>
        <v/>
      </c>
      <c r="H24" s="98">
        <f>ROUND(1/(0.36*((2*9.8)/(353/(273+測定データ!$I$14)))^0.5)*E24,1)</f>
        <v>35.6</v>
      </c>
      <c r="I24" s="97" t="str">
        <f>IF(G24="","",ROUND((2*9.8)/((353/(273+測定データ!$I$14))*G24^2),1))</f>
        <v/>
      </c>
      <c r="J24" s="99">
        <f t="shared" si="4"/>
        <v>50.7</v>
      </c>
      <c r="K24" s="100" t="s">
        <v>93</v>
      </c>
      <c r="L24" s="101">
        <f t="shared" si="5"/>
        <v>0.5</v>
      </c>
    </row>
    <row r="25" spans="1:17" ht="21.75" x14ac:dyDescent="0.15">
      <c r="A25" s="82">
        <v>16</v>
      </c>
      <c r="B25" s="83">
        <f>測定データ!A40</f>
        <v>1800.5</v>
      </c>
      <c r="C25" s="84">
        <f>測定データ!C40</f>
        <v>1900</v>
      </c>
      <c r="D25" s="85" t="str">
        <f>IF(測定データ!F40="","",測定データ!F40)</f>
        <v/>
      </c>
      <c r="E25" s="86">
        <f>測定データ!D40</f>
        <v>53.6</v>
      </c>
      <c r="F25" s="85">
        <f>測定データ!E40</f>
        <v>2</v>
      </c>
      <c r="G25" s="87" t="str">
        <f t="shared" si="3"/>
        <v/>
      </c>
      <c r="H25" s="88">
        <f>ROUND(1/(0.36*((2*9.8)/(353/(273+測定データ!$I$14)))^0.5)*E25,1)</f>
        <v>37.6</v>
      </c>
      <c r="I25" s="87" t="str">
        <f>IF(G25="","",ROUND((2*9.8)/((353/(273+測定データ!$I$14))*G25^2),1))</f>
        <v/>
      </c>
      <c r="J25" s="89">
        <f t="shared" si="4"/>
        <v>53.6</v>
      </c>
      <c r="K25" s="90" t="s">
        <v>93</v>
      </c>
      <c r="L25" s="91">
        <f t="shared" si="5"/>
        <v>0.5</v>
      </c>
      <c r="O25" s="49"/>
      <c r="P25" s="49"/>
      <c r="Q25" s="49"/>
    </row>
    <row r="26" spans="1:17" ht="21.75" x14ac:dyDescent="0.15">
      <c r="A26" s="82">
        <v>17</v>
      </c>
      <c r="B26" s="83">
        <f>測定データ!A41</f>
        <v>1900.5</v>
      </c>
      <c r="C26" s="84">
        <f>測定データ!C41</f>
        <v>2000</v>
      </c>
      <c r="D26" s="85" t="str">
        <f>IF(測定データ!F41="","",測定データ!F41)</f>
        <v/>
      </c>
      <c r="E26" s="86">
        <f>測定データ!D41</f>
        <v>56.4</v>
      </c>
      <c r="F26" s="85">
        <f>測定データ!E41</f>
        <v>2</v>
      </c>
      <c r="G26" s="87" t="str">
        <f t="shared" si="3"/>
        <v/>
      </c>
      <c r="H26" s="88">
        <f>ROUND(1/(0.36*((2*9.8)/(353/(273+測定データ!$I$14)))^0.5)*E26,1)</f>
        <v>39.6</v>
      </c>
      <c r="I26" s="87" t="str">
        <f>IF(G26="","",ROUND((2*9.8)/((353/(273+測定データ!$I$14))*G26^2),1))</f>
        <v/>
      </c>
      <c r="J26" s="89">
        <f t="shared" si="4"/>
        <v>56.4</v>
      </c>
      <c r="K26" s="90" t="s">
        <v>93</v>
      </c>
      <c r="L26" s="91">
        <f t="shared" si="5"/>
        <v>0.5</v>
      </c>
      <c r="O26" s="49"/>
      <c r="P26" s="49"/>
      <c r="Q26" s="49"/>
    </row>
    <row r="27" spans="1:17" ht="21.75" x14ac:dyDescent="0.15">
      <c r="A27" s="82">
        <v>18</v>
      </c>
      <c r="B27" s="83">
        <f>測定データ!A42</f>
        <v>2000.5</v>
      </c>
      <c r="C27" s="84">
        <f>測定データ!C42</f>
        <v>2700</v>
      </c>
      <c r="D27" s="85" t="str">
        <f>IF(測定データ!F42="","",測定データ!F42)</f>
        <v/>
      </c>
      <c r="E27" s="86">
        <f>測定データ!D42</f>
        <v>68</v>
      </c>
      <c r="F27" s="85">
        <f>測定データ!E42</f>
        <v>2</v>
      </c>
      <c r="G27" s="87" t="str">
        <f t="shared" si="3"/>
        <v/>
      </c>
      <c r="H27" s="88">
        <f>ROUND(1/(0.36*((2*9.8)/(353/(273+測定データ!$I$14)))^0.5)*E27,1)</f>
        <v>47.7</v>
      </c>
      <c r="I27" s="87" t="str">
        <f>IF(G27="","",ROUND((2*9.8)/((353/(273+測定データ!$I$14))*G27^2),1))</f>
        <v/>
      </c>
      <c r="J27" s="89">
        <f t="shared" si="4"/>
        <v>68</v>
      </c>
      <c r="K27" s="90" t="s">
        <v>98</v>
      </c>
      <c r="L27" s="91">
        <f t="shared" si="5"/>
        <v>0.5</v>
      </c>
      <c r="O27" s="49"/>
      <c r="P27" s="49"/>
      <c r="Q27" s="49"/>
    </row>
    <row r="28" spans="1:17" ht="14.25" x14ac:dyDescent="0.15">
      <c r="O28" s="49"/>
      <c r="P28" s="49"/>
      <c r="Q28" s="49"/>
    </row>
    <row r="29" spans="1:17" ht="14.25" x14ac:dyDescent="0.15">
      <c r="A29" s="46" t="s">
        <v>95</v>
      </c>
      <c r="O29" s="49"/>
      <c r="P29" s="49"/>
      <c r="Q29" s="49"/>
    </row>
    <row r="30" spans="1:17" ht="14.25" x14ac:dyDescent="0.15">
      <c r="O30" s="49"/>
      <c r="P30" s="49"/>
      <c r="Q30" s="49"/>
    </row>
    <row r="31" spans="1:17" x14ac:dyDescent="0.15">
      <c r="D31" s="102"/>
      <c r="E31" s="102"/>
      <c r="F31" s="102"/>
      <c r="G31" s="102"/>
      <c r="H31" s="102"/>
      <c r="I31" s="102"/>
      <c r="J31" s="102"/>
      <c r="K31" s="102"/>
    </row>
    <row r="32" spans="1:17" x14ac:dyDescent="0.15">
      <c r="D32" s="102"/>
      <c r="E32" s="102"/>
      <c r="F32" s="102"/>
      <c r="G32" s="102"/>
      <c r="H32" s="102"/>
      <c r="I32" s="102"/>
      <c r="J32" s="102"/>
      <c r="K32" s="102"/>
    </row>
  </sheetData>
  <mergeCells count="3">
    <mergeCell ref="A7:A9"/>
    <mergeCell ref="C3:I3"/>
    <mergeCell ref="F1:H1"/>
  </mergeCells>
  <phoneticPr fontId="1"/>
  <pageMargins left="0.78740157480314965" right="0.39370078740157483" top="0.78740157480314965" bottom="0.39370078740157483" header="0.51181102362204722" footer="0.51181102362204722"/>
  <pageSetup paperSize="9"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6"/>
  <sheetViews>
    <sheetView showGridLines="0" workbookViewId="0">
      <selection activeCell="P44" sqref="P44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10" width="9" style="1"/>
    <col min="11" max="11" width="14.25" style="1" customWidth="1"/>
    <col min="12" max="15" width="6.125" style="1" bestFit="1" customWidth="1"/>
    <col min="16" max="16384" width="9" style="1"/>
  </cols>
  <sheetData>
    <row r="1" spans="1:10" ht="17.25" x14ac:dyDescent="0.15">
      <c r="A1" s="45" t="s">
        <v>18</v>
      </c>
      <c r="C1" s="190" t="s">
        <v>34</v>
      </c>
      <c r="D1" s="191"/>
      <c r="E1" s="192"/>
    </row>
    <row r="2" spans="1:10" ht="14.1" customHeight="1" x14ac:dyDescent="0.15"/>
    <row r="3" spans="1:10" s="36" customFormat="1" ht="14.1" customHeight="1" x14ac:dyDescent="0.15">
      <c r="B3" s="103"/>
      <c r="C3" s="104"/>
      <c r="D3" s="104"/>
      <c r="E3" s="104"/>
      <c r="F3" s="105" t="s">
        <v>2</v>
      </c>
      <c r="G3" s="106" t="s">
        <v>76</v>
      </c>
      <c r="H3" s="107"/>
    </row>
    <row r="4" spans="1:10" s="36" customFormat="1" ht="14.1" customHeight="1" x14ac:dyDescent="0.15">
      <c r="F4" s="105" t="s">
        <v>70</v>
      </c>
      <c r="G4" s="108"/>
      <c r="H4" s="109"/>
    </row>
    <row r="5" spans="1:10" s="36" customFormat="1" ht="14.1" customHeight="1" x14ac:dyDescent="0.15">
      <c r="F5" s="105" t="s">
        <v>71</v>
      </c>
      <c r="G5" s="108"/>
      <c r="H5" s="109"/>
    </row>
    <row r="6" spans="1:10" s="36" customFormat="1" ht="14.1" customHeight="1" thickBot="1" x14ac:dyDescent="0.2">
      <c r="A6" s="208"/>
      <c r="B6" s="209"/>
      <c r="C6" s="209"/>
      <c r="D6" s="209"/>
      <c r="E6" s="209"/>
      <c r="F6" s="209"/>
      <c r="G6" s="209"/>
      <c r="H6" s="209"/>
    </row>
    <row r="7" spans="1:10" s="36" customFormat="1" ht="20.100000000000001" customHeight="1" x14ac:dyDescent="0.15">
      <c r="A7" s="204" t="s">
        <v>3</v>
      </c>
      <c r="B7" s="205"/>
      <c r="C7" s="213" t="str">
        <f>測定データ!B7</f>
        <v>樹脂製内窓用内窓ブレス,  内窓ブレス音感知</v>
      </c>
      <c r="D7" s="214"/>
      <c r="E7" s="214"/>
      <c r="F7" s="214"/>
      <c r="G7" s="214"/>
      <c r="H7" s="215"/>
    </row>
    <row r="8" spans="1:10" s="36" customFormat="1" ht="20.100000000000001" customHeight="1" thickBot="1" x14ac:dyDescent="0.2">
      <c r="A8" s="206" t="s">
        <v>32</v>
      </c>
      <c r="B8" s="207"/>
      <c r="C8" s="111" t="str">
        <f>測定データ!B8</f>
        <v>ｳﾁﾏﾄﾞﾌﾞﾚｽ,  ウチマドブレス-K</v>
      </c>
      <c r="D8" s="112"/>
      <c r="E8" s="112"/>
      <c r="F8" s="113"/>
      <c r="G8" s="113"/>
      <c r="H8" s="114"/>
    </row>
    <row r="9" spans="1:10" s="36" customFormat="1" ht="20.100000000000001" customHeight="1" x14ac:dyDescent="0.15">
      <c r="A9" s="110" t="s">
        <v>58</v>
      </c>
      <c r="B9" s="115"/>
      <c r="C9" s="116" t="s">
        <v>83</v>
      </c>
      <c r="D9" s="13">
        <f>'PQ-SV056 内窓ブレス'!C19</f>
        <v>1200</v>
      </c>
      <c r="E9" s="117"/>
      <c r="F9" s="117"/>
      <c r="G9" s="117"/>
      <c r="H9" s="118" t="s">
        <v>59</v>
      </c>
      <c r="I9" s="144" t="s">
        <v>96</v>
      </c>
      <c r="J9" s="144" t="s">
        <v>97</v>
      </c>
    </row>
    <row r="10" spans="1:10" ht="20.100000000000001" customHeight="1" x14ac:dyDescent="0.15">
      <c r="A10" s="119" t="s">
        <v>4</v>
      </c>
      <c r="B10" s="3"/>
      <c r="C10" s="4" t="s">
        <v>91</v>
      </c>
      <c r="D10" s="14">
        <f>ROUNDUP(((D9-(21.5+4.5))/10*0.39785),1)</f>
        <v>46.800000000000004</v>
      </c>
      <c r="E10" s="15"/>
      <c r="F10" s="15"/>
      <c r="G10" s="15"/>
      <c r="H10" s="16" t="s">
        <v>92</v>
      </c>
      <c r="I10" s="142">
        <f>IF(D9&lt;=測定データ!C32,測定データ!F32,IF(D9&lt;=測定データ!C33,測定データ!F33,IF(D9&lt;=測定データ!C34,測定データ!F34,IF(D9&lt;=測定データ!C35,測定データ!F35,IF(D9&lt;=測定データ!C36,測定データ!F36,IF(D9&lt;=測定データ!C37,測定データ!F37,IF(D9&lt;=測定データ!C38,測定データ!F38,J10)))))))</f>
        <v>0</v>
      </c>
      <c r="J10" s="143">
        <f>IF(D9&lt;=測定データ!C39,測定データ!F39,IF(D9&lt;=測定データ!C40,測定データ!F40,IF(D9&lt;=測定データ!C41,測定データ!F41,IF(D9&lt;=測定データ!C42,測定データ!F42,IF(D9&lt;=測定データ!C43,測定データ!F43,IF(D9&lt;=測定データ!C44,測定データ!F44,IF(D9&lt;=測定データ!C45,測定データ!F45,J10)))))))</f>
        <v>0</v>
      </c>
    </row>
    <row r="11" spans="1:10" ht="20.100000000000001" customHeight="1" x14ac:dyDescent="0.15">
      <c r="A11" s="2" t="s">
        <v>7</v>
      </c>
      <c r="B11" s="3"/>
      <c r="C11" s="4" t="s">
        <v>60</v>
      </c>
      <c r="D11" s="5">
        <f>ROUND(1/(0.36*((2*9.8)/(353/(273+測定データ!I14)))^0.5)*D14,1)</f>
        <v>24.4</v>
      </c>
      <c r="E11" s="6"/>
      <c r="F11" s="6"/>
      <c r="G11" s="6"/>
      <c r="H11" s="8" t="s">
        <v>61</v>
      </c>
    </row>
    <row r="12" spans="1:10" s="36" customFormat="1" ht="20.100000000000001" customHeight="1" x14ac:dyDescent="0.15">
      <c r="A12" s="2" t="s">
        <v>0</v>
      </c>
      <c r="B12" s="3"/>
      <c r="C12" s="4" t="s">
        <v>62</v>
      </c>
      <c r="D12" s="5">
        <f>D14</f>
        <v>34.831700000000005</v>
      </c>
      <c r="E12" s="120" t="s">
        <v>63</v>
      </c>
      <c r="F12" s="121">
        <f>ROUND(1/D13,2)</f>
        <v>0.53</v>
      </c>
      <c r="G12" s="122"/>
      <c r="H12" s="123" t="s">
        <v>64</v>
      </c>
    </row>
    <row r="13" spans="1:10" ht="20.100000000000001" customHeight="1" x14ac:dyDescent="0.15">
      <c r="A13" s="119" t="s">
        <v>5</v>
      </c>
      <c r="B13" s="3"/>
      <c r="C13" s="4" t="s">
        <v>65</v>
      </c>
      <c r="D13" s="124">
        <f>IF(ROUND(測定データ!H21*D9+測定データ!J21,1)&lt;1,1,IF(ROUND(測定データ!H21*D9+測定データ!J21,1)&gt;2,2,(ROUND(測定データ!H21*D9+測定データ!J21,1))))</f>
        <v>1.9</v>
      </c>
      <c r="E13" s="6"/>
      <c r="F13" s="6"/>
      <c r="G13" s="6"/>
      <c r="H13" s="7"/>
    </row>
    <row r="14" spans="1:10" ht="20.100000000000001" customHeight="1" x14ac:dyDescent="0.15">
      <c r="A14" s="2" t="s">
        <v>6</v>
      </c>
      <c r="B14" s="3"/>
      <c r="C14" s="4" t="s">
        <v>66</v>
      </c>
      <c r="D14" s="5">
        <f>測定データ!H20*D9+測定データ!J20</f>
        <v>34.831700000000005</v>
      </c>
      <c r="E14" s="6"/>
      <c r="F14" s="6"/>
      <c r="G14" s="6"/>
      <c r="H14" s="7" t="s">
        <v>67</v>
      </c>
    </row>
    <row r="15" spans="1:10" ht="20.100000000000001" customHeight="1" x14ac:dyDescent="0.15">
      <c r="A15" s="2" t="s">
        <v>8</v>
      </c>
      <c r="B15" s="3"/>
      <c r="C15" s="4" t="s">
        <v>68</v>
      </c>
      <c r="D15" s="125">
        <f>ROUND(D11/D10,3)</f>
        <v>0.52100000000000002</v>
      </c>
      <c r="E15" s="6"/>
      <c r="F15" s="6"/>
      <c r="G15" s="6"/>
      <c r="H15" s="126"/>
    </row>
    <row r="16" spans="1:10" ht="20.100000000000001" customHeight="1" x14ac:dyDescent="0.15">
      <c r="A16" s="2" t="s">
        <v>9</v>
      </c>
      <c r="B16" s="3"/>
      <c r="C16" s="4" t="s">
        <v>13</v>
      </c>
      <c r="D16" s="5">
        <f>ROUND(D14/(D10*0.0001)/3600,2)</f>
        <v>2.0699999999999998</v>
      </c>
      <c r="E16" s="127"/>
      <c r="F16" s="128"/>
      <c r="G16" s="128"/>
      <c r="H16" s="129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69</v>
      </c>
      <c r="D17" s="12">
        <f>ROUND((2*9.8)/((353/(273+測定データ!I14))*D16^2),2)</f>
        <v>3.66</v>
      </c>
      <c r="E17" s="130"/>
      <c r="F17" s="131"/>
      <c r="G17" s="131"/>
      <c r="H17" s="132"/>
    </row>
    <row r="18" spans="1:8" ht="20.100000000000001" customHeight="1" x14ac:dyDescent="0.15">
      <c r="A18" s="210" t="s">
        <v>1</v>
      </c>
      <c r="B18" s="211"/>
      <c r="C18" s="211"/>
      <c r="D18" s="211"/>
      <c r="E18" s="211"/>
      <c r="F18" s="211"/>
      <c r="G18" s="211"/>
      <c r="H18" s="212"/>
    </row>
    <row r="19" spans="1:8" ht="399.95" customHeight="1" thickBot="1" x14ac:dyDescent="0.2">
      <c r="A19" s="201"/>
      <c r="B19" s="202"/>
      <c r="C19" s="202"/>
      <c r="D19" s="202"/>
      <c r="E19" s="202"/>
      <c r="F19" s="202"/>
      <c r="G19" s="202"/>
      <c r="H19" s="203"/>
    </row>
    <row r="20" spans="1:8" ht="20.100000000000001" customHeight="1" x14ac:dyDescent="0.15"/>
    <row r="21" spans="1:8" ht="20.100000000000001" customHeight="1" x14ac:dyDescent="0.15">
      <c r="A21" s="133" t="s">
        <v>11</v>
      </c>
      <c r="B21" s="134">
        <v>0</v>
      </c>
      <c r="C21" s="135">
        <v>1</v>
      </c>
      <c r="D21" s="135">
        <v>3</v>
      </c>
      <c r="E21" s="135">
        <v>5</v>
      </c>
      <c r="F21" s="135">
        <v>10</v>
      </c>
      <c r="G21" s="135">
        <v>30</v>
      </c>
      <c r="H21" s="135">
        <v>50</v>
      </c>
    </row>
    <row r="22" spans="1:8" ht="20.100000000000001" customHeight="1" x14ac:dyDescent="0.15">
      <c r="A22" s="133" t="s">
        <v>12</v>
      </c>
      <c r="B22" s="136">
        <f t="shared" ref="B22:H22" si="0">$D$14*(B21/9.8)^(1/$D$13)</f>
        <v>0</v>
      </c>
      <c r="C22" s="136">
        <f t="shared" si="0"/>
        <v>10.477960010800155</v>
      </c>
      <c r="D22" s="136">
        <f t="shared" si="0"/>
        <v>18.680701740871573</v>
      </c>
      <c r="E22" s="136">
        <f t="shared" si="0"/>
        <v>24.443066329044509</v>
      </c>
      <c r="F22" s="136">
        <f t="shared" si="0"/>
        <v>35.204041647236586</v>
      </c>
      <c r="G22" s="136">
        <f t="shared" si="0"/>
        <v>62.763763309593585</v>
      </c>
      <c r="H22" s="136">
        <f t="shared" si="0"/>
        <v>82.124261225171139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7">
    <mergeCell ref="C1:E1"/>
    <mergeCell ref="A19:H19"/>
    <mergeCell ref="A7:B7"/>
    <mergeCell ref="A8:B8"/>
    <mergeCell ref="A6:H6"/>
    <mergeCell ref="A18:H18"/>
    <mergeCell ref="C7:H7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1"/>
  <sheetViews>
    <sheetView showGridLines="0" showRowColHeaders="0" tabSelected="1" topLeftCell="A13" zoomScaleNormal="100" workbookViewId="0">
      <selection activeCell="C19" sqref="C19"/>
    </sheetView>
  </sheetViews>
  <sheetFormatPr defaultColWidth="9" defaultRowHeight="13.5" x14ac:dyDescent="0.15"/>
  <cols>
    <col min="1" max="1" width="15.625" style="149" customWidth="1"/>
    <col min="2" max="2" width="14.625" style="149" customWidth="1"/>
    <col min="3" max="8" width="9.125" style="149" customWidth="1"/>
    <col min="9" max="10" width="9" style="149"/>
    <col min="11" max="11" width="5.125" style="149" bestFit="1" customWidth="1"/>
    <col min="12" max="15" width="6.125" style="149" bestFit="1" customWidth="1"/>
    <col min="16" max="16384" width="9" style="149"/>
  </cols>
  <sheetData>
    <row r="1" spans="1:8" ht="27" customHeight="1" x14ac:dyDescent="0.15">
      <c r="A1" s="220" t="s">
        <v>126</v>
      </c>
      <c r="B1" s="220"/>
      <c r="C1" s="220"/>
      <c r="D1" s="220"/>
      <c r="E1" s="221"/>
      <c r="F1" s="222" t="s">
        <v>115</v>
      </c>
      <c r="G1" s="223"/>
      <c r="H1" s="223"/>
    </row>
    <row r="2" spans="1:8" ht="27" customHeight="1" x14ac:dyDescent="0.15">
      <c r="A2" s="229"/>
      <c r="B2" s="229"/>
      <c r="C2" s="229"/>
      <c r="D2" s="229"/>
      <c r="E2" s="229"/>
    </row>
    <row r="3" spans="1:8" ht="27" customHeight="1" x14ac:dyDescent="0.15">
      <c r="A3" s="229"/>
      <c r="B3" s="229"/>
      <c r="C3" s="229"/>
      <c r="D3" s="229"/>
      <c r="E3" s="229"/>
    </row>
    <row r="4" spans="1:8" ht="27" customHeight="1" x14ac:dyDescent="0.15">
      <c r="A4" s="229"/>
      <c r="B4" s="229"/>
      <c r="C4" s="229"/>
      <c r="D4" s="229"/>
      <c r="E4" s="229"/>
    </row>
    <row r="5" spans="1:8" ht="27" customHeight="1" x14ac:dyDescent="0.15">
      <c r="A5" s="229"/>
      <c r="B5" s="229"/>
      <c r="C5" s="229"/>
      <c r="D5" s="229"/>
      <c r="E5" s="229"/>
    </row>
    <row r="6" spans="1:8" ht="27" customHeight="1" x14ac:dyDescent="0.15">
      <c r="A6" s="229"/>
      <c r="B6" s="229"/>
      <c r="C6" s="229"/>
      <c r="D6" s="229"/>
      <c r="E6" s="229"/>
    </row>
    <row r="7" spans="1:8" ht="27" customHeight="1" x14ac:dyDescent="0.15">
      <c r="A7" s="229"/>
      <c r="B7" s="229"/>
      <c r="C7" s="229"/>
      <c r="D7" s="229"/>
      <c r="E7" s="229"/>
    </row>
    <row r="8" spans="1:8" ht="27" customHeight="1" x14ac:dyDescent="0.15">
      <c r="A8" s="229"/>
      <c r="B8" s="229"/>
      <c r="C8" s="229"/>
      <c r="D8" s="229"/>
      <c r="E8" s="229"/>
    </row>
    <row r="9" spans="1:8" ht="27" customHeight="1" x14ac:dyDescent="0.15">
      <c r="A9" s="229"/>
      <c r="B9" s="229"/>
      <c r="C9" s="229"/>
      <c r="D9" s="229"/>
      <c r="E9" s="229"/>
    </row>
    <row r="10" spans="1:8" ht="27" customHeight="1" x14ac:dyDescent="0.15">
      <c r="A10" s="229"/>
      <c r="B10" s="229"/>
      <c r="C10" s="229"/>
      <c r="D10" s="229"/>
      <c r="E10" s="229"/>
    </row>
    <row r="11" spans="1:8" ht="27" customHeight="1" x14ac:dyDescent="0.15">
      <c r="A11" s="229"/>
      <c r="B11" s="229"/>
      <c r="C11" s="229"/>
      <c r="D11" s="229"/>
      <c r="E11" s="229"/>
    </row>
    <row r="12" spans="1:8" ht="27" customHeight="1" x14ac:dyDescent="0.15">
      <c r="A12" s="229"/>
      <c r="B12" s="229"/>
      <c r="C12" s="229"/>
      <c r="D12" s="229"/>
      <c r="E12" s="229"/>
    </row>
    <row r="13" spans="1:8" ht="27" customHeight="1" x14ac:dyDescent="0.15">
      <c r="A13" s="229"/>
      <c r="B13" s="229"/>
      <c r="C13" s="229"/>
      <c r="D13" s="229"/>
      <c r="E13" s="229"/>
    </row>
    <row r="14" spans="1:8" ht="27" customHeight="1" x14ac:dyDescent="0.15">
      <c r="A14" s="229"/>
      <c r="B14" s="229"/>
      <c r="C14" s="229"/>
      <c r="D14" s="229"/>
      <c r="E14" s="229"/>
    </row>
    <row r="15" spans="1:8" ht="27" customHeight="1" x14ac:dyDescent="0.15">
      <c r="A15" s="226" t="s">
        <v>116</v>
      </c>
      <c r="B15" s="226"/>
      <c r="C15" s="226"/>
      <c r="D15" s="226"/>
      <c r="E15" s="226"/>
      <c r="F15" s="226"/>
      <c r="G15" s="226"/>
      <c r="H15" s="226"/>
    </row>
    <row r="16" spans="1:8" ht="278.25" customHeight="1" x14ac:dyDescent="0.15">
      <c r="A16" s="227"/>
      <c r="B16" s="228"/>
      <c r="C16" s="228"/>
      <c r="D16" s="228"/>
      <c r="E16" s="228"/>
      <c r="F16" s="228"/>
      <c r="G16" s="228"/>
      <c r="H16" s="228"/>
    </row>
    <row r="17" spans="1:8" ht="27" customHeight="1" x14ac:dyDescent="0.15">
      <c r="A17" s="226" t="s">
        <v>117</v>
      </c>
      <c r="B17" s="226"/>
      <c r="C17" s="226"/>
      <c r="D17" s="226"/>
      <c r="E17" s="226"/>
      <c r="F17" s="226"/>
      <c r="G17" s="226"/>
      <c r="H17" s="226"/>
    </row>
    <row r="18" spans="1:8" ht="5.25" customHeight="1" thickBot="1" x14ac:dyDescent="0.2">
      <c r="A18" s="150"/>
      <c r="B18" s="150"/>
      <c r="C18" s="150"/>
      <c r="D18" s="150"/>
      <c r="E18" s="150"/>
      <c r="F18" s="150"/>
      <c r="G18" s="150"/>
      <c r="H18" s="150"/>
    </row>
    <row r="19" spans="1:8" ht="16.7" customHeight="1" x14ac:dyDescent="0.15">
      <c r="A19" s="224" t="s">
        <v>120</v>
      </c>
      <c r="B19" s="225"/>
      <c r="C19" s="148">
        <v>1200</v>
      </c>
      <c r="D19" s="151"/>
      <c r="E19" s="152"/>
      <c r="F19" s="153"/>
      <c r="G19" s="153"/>
      <c r="H19" s="154"/>
    </row>
    <row r="20" spans="1:8" ht="16.7" customHeight="1" x14ac:dyDescent="0.15">
      <c r="A20" s="216" t="s">
        <v>6</v>
      </c>
      <c r="B20" s="217"/>
      <c r="C20" s="155" t="s">
        <v>85</v>
      </c>
      <c r="D20" s="156">
        <f>サイズ毎!D14</f>
        <v>34.831700000000005</v>
      </c>
      <c r="E20" s="157"/>
      <c r="F20" s="158"/>
      <c r="G20" s="158"/>
      <c r="H20" s="159" t="s">
        <v>64</v>
      </c>
    </row>
    <row r="21" spans="1:8" ht="16.7" customHeight="1" x14ac:dyDescent="0.15">
      <c r="A21" s="216" t="s">
        <v>4</v>
      </c>
      <c r="B21" s="217"/>
      <c r="C21" s="155" t="s">
        <v>84</v>
      </c>
      <c r="D21" s="156">
        <f>サイズ毎!D10</f>
        <v>46.800000000000004</v>
      </c>
      <c r="E21" s="157"/>
      <c r="F21" s="158"/>
      <c r="G21" s="158"/>
      <c r="H21" s="160" t="s">
        <v>118</v>
      </c>
    </row>
    <row r="22" spans="1:8" ht="15.75" customHeight="1" x14ac:dyDescent="0.15">
      <c r="A22" s="216" t="s">
        <v>7</v>
      </c>
      <c r="B22" s="217"/>
      <c r="C22" s="155" t="s">
        <v>86</v>
      </c>
      <c r="D22" s="156">
        <f>サイズ毎!D11</f>
        <v>24.4</v>
      </c>
      <c r="E22" s="157"/>
      <c r="F22" s="158"/>
      <c r="G22" s="158"/>
      <c r="H22" s="160" t="s">
        <v>119</v>
      </c>
    </row>
    <row r="23" spans="1:8" ht="16.7" customHeight="1" thickBot="1" x14ac:dyDescent="0.2">
      <c r="A23" s="218" t="s">
        <v>0</v>
      </c>
      <c r="B23" s="219"/>
      <c r="C23" s="161" t="s">
        <v>87</v>
      </c>
      <c r="D23" s="162">
        <f>D20</f>
        <v>34.831700000000005</v>
      </c>
      <c r="E23" s="163" t="s">
        <v>88</v>
      </c>
      <c r="F23" s="164">
        <f>ROUND(1/サイズ毎!D13,2)</f>
        <v>0.53</v>
      </c>
      <c r="G23" s="165"/>
      <c r="H23" s="166" t="s">
        <v>64</v>
      </c>
    </row>
    <row r="24" spans="1:8" ht="14.25" customHeight="1" x14ac:dyDescent="0.15"/>
    <row r="25" spans="1:8" ht="14.25" customHeight="1" x14ac:dyDescent="0.15">
      <c r="A25" s="167"/>
      <c r="B25" s="167"/>
      <c r="C25" s="168" t="s">
        <v>94</v>
      </c>
      <c r="D25" s="167"/>
      <c r="E25" s="176"/>
      <c r="F25" s="169"/>
      <c r="G25" s="169"/>
      <c r="H25" s="177" t="s">
        <v>121</v>
      </c>
    </row>
    <row r="27" spans="1:8" s="173" customFormat="1" ht="14.25" x14ac:dyDescent="0.15">
      <c r="A27" s="170" t="s">
        <v>11</v>
      </c>
      <c r="B27" s="171">
        <v>0</v>
      </c>
      <c r="C27" s="172">
        <v>1</v>
      </c>
      <c r="D27" s="172">
        <v>3</v>
      </c>
      <c r="E27" s="172">
        <v>5</v>
      </c>
      <c r="F27" s="172">
        <v>10</v>
      </c>
      <c r="G27" s="172">
        <v>30</v>
      </c>
      <c r="H27" s="172">
        <v>50</v>
      </c>
    </row>
    <row r="28" spans="1:8" s="173" customFormat="1" ht="14.25" x14ac:dyDescent="0.15">
      <c r="A28" s="170" t="s">
        <v>12</v>
      </c>
      <c r="B28" s="174">
        <f>$D$20*(B27/9.8)^($F$23)</f>
        <v>0</v>
      </c>
      <c r="C28" s="174">
        <f t="shared" ref="C28:H28" si="0">$D$20*(C27/9.8)^($F$23)</f>
        <v>10.390222578684009</v>
      </c>
      <c r="D28" s="174">
        <f t="shared" si="0"/>
        <v>18.599407777088473</v>
      </c>
      <c r="E28" s="174">
        <f t="shared" si="0"/>
        <v>24.382540450667282</v>
      </c>
      <c r="F28" s="174">
        <f t="shared" si="0"/>
        <v>35.206662017726721</v>
      </c>
      <c r="G28" s="174">
        <f t="shared" si="0"/>
        <v>63.023006329164652</v>
      </c>
      <c r="H28" s="174">
        <f t="shared" si="0"/>
        <v>82.618813435363265</v>
      </c>
    </row>
    <row r="29" spans="1:8" s="173" customFormat="1" x14ac:dyDescent="0.15"/>
    <row r="30" spans="1:8" s="173" customFormat="1" x14ac:dyDescent="0.15">
      <c r="A30" s="175" t="s">
        <v>89</v>
      </c>
    </row>
    <row r="31" spans="1:8" s="173" customFormat="1" x14ac:dyDescent="0.15">
      <c r="A31" s="175" t="s">
        <v>90</v>
      </c>
    </row>
  </sheetData>
  <sheetProtection sheet="1" selectLockedCells="1"/>
  <mergeCells count="11">
    <mergeCell ref="A22:B22"/>
    <mergeCell ref="A23:B23"/>
    <mergeCell ref="A1:E1"/>
    <mergeCell ref="F1:H1"/>
    <mergeCell ref="A19:B19"/>
    <mergeCell ref="A20:B20"/>
    <mergeCell ref="A21:B21"/>
    <mergeCell ref="A17:H17"/>
    <mergeCell ref="A15:H15"/>
    <mergeCell ref="A16:H16"/>
    <mergeCell ref="A2:E14"/>
  </mergeCells>
  <phoneticPr fontId="1"/>
  <dataValidations count="1">
    <dataValidation type="decimal" allowBlank="1" showInputMessage="1" showErrorMessage="1" error="製作範囲外" sqref="C19">
      <formula1>300</formula1>
      <formula2>2700</formula2>
    </dataValidation>
  </dataValidations>
  <pageMargins left="0.78740157480314965" right="0.59055118110236227" top="0.59055118110236227" bottom="0.19685039370078741" header="0" footer="0"/>
  <pageSetup paperSize="9" scale="9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31"/>
  <sheetViews>
    <sheetView showGridLines="0" zoomScale="75" workbookViewId="0">
      <selection activeCell="P44" sqref="P44"/>
    </sheetView>
  </sheetViews>
  <sheetFormatPr defaultColWidth="9" defaultRowHeight="13.5" x14ac:dyDescent="0.15"/>
  <cols>
    <col min="1" max="1" width="3.625" style="46" customWidth="1"/>
    <col min="2" max="3" width="8.125" style="46" customWidth="1"/>
    <col min="4" max="4" width="8.125" style="46" hidden="1" customWidth="1"/>
    <col min="5" max="6" width="8.125" style="46" customWidth="1"/>
    <col min="7" max="7" width="8.125" style="46" hidden="1" customWidth="1"/>
    <col min="8" max="8" width="8.125" style="46" customWidth="1"/>
    <col min="9" max="9" width="8.125" style="46" hidden="1" customWidth="1"/>
    <col min="10" max="10" width="6.625" style="46" customWidth="1"/>
    <col min="11" max="11" width="11.625" style="46" customWidth="1"/>
    <col min="12" max="12" width="5.625" style="46" customWidth="1"/>
    <col min="13" max="13" width="4.625" style="46" customWidth="1"/>
    <col min="14" max="16384" width="9" style="46"/>
  </cols>
  <sheetData>
    <row r="1" spans="1:12" ht="21.95" customHeight="1" x14ac:dyDescent="0.15">
      <c r="A1" s="45" t="s">
        <v>18</v>
      </c>
      <c r="B1" s="45"/>
      <c r="C1" s="45"/>
      <c r="F1" s="230"/>
      <c r="G1" s="230"/>
      <c r="H1" s="230"/>
      <c r="J1" s="47" t="str">
        <f>測定データ!B10</f>
        <v>20101208/20230328</v>
      </c>
      <c r="K1" s="48"/>
      <c r="L1" s="48"/>
    </row>
    <row r="2" spans="1:12" s="49" customFormat="1" ht="21.95" customHeight="1" x14ac:dyDescent="0.15"/>
    <row r="3" spans="1:12" s="49" customFormat="1" ht="21.95" customHeight="1" x14ac:dyDescent="0.15">
      <c r="A3" s="49" t="s">
        <v>19</v>
      </c>
      <c r="C3" s="200" t="s">
        <v>113</v>
      </c>
      <c r="D3" s="200"/>
      <c r="E3" s="200"/>
      <c r="F3" s="200"/>
      <c r="G3" s="200"/>
      <c r="H3" s="200"/>
      <c r="I3" s="200"/>
      <c r="J3" s="47" t="s">
        <v>33</v>
      </c>
      <c r="K3" s="47"/>
      <c r="L3" s="47"/>
    </row>
    <row r="4" spans="1:12" s="49" customFormat="1" ht="21.95" customHeight="1" x14ac:dyDescent="0.15">
      <c r="C4" s="49" t="s">
        <v>114</v>
      </c>
      <c r="J4" s="47" t="str">
        <f>測定データ!B9</f>
        <v>佐々木直美/工藤・石川</v>
      </c>
      <c r="K4" s="47"/>
      <c r="L4" s="47"/>
    </row>
    <row r="5" spans="1:12" s="49" customFormat="1" ht="21.95" customHeight="1" thickBot="1" x14ac:dyDescent="0.2"/>
    <row r="6" spans="1:12" s="49" customFormat="1" ht="30" customHeight="1" x14ac:dyDescent="0.15">
      <c r="A6" s="197" t="s">
        <v>99</v>
      </c>
      <c r="B6" s="50" t="s">
        <v>79</v>
      </c>
      <c r="C6" s="51"/>
      <c r="D6" s="52" t="s">
        <v>4</v>
      </c>
      <c r="E6" s="53" t="s">
        <v>20</v>
      </c>
      <c r="F6" s="53" t="s">
        <v>21</v>
      </c>
      <c r="G6" s="53" t="s">
        <v>22</v>
      </c>
      <c r="H6" s="54" t="s">
        <v>7</v>
      </c>
      <c r="I6" s="54" t="s">
        <v>10</v>
      </c>
      <c r="J6" s="55" t="s">
        <v>0</v>
      </c>
      <c r="K6" s="56"/>
      <c r="L6" s="57"/>
    </row>
    <row r="7" spans="1:12" s="49" customFormat="1" ht="21.95" customHeight="1" x14ac:dyDescent="0.15">
      <c r="A7" s="198"/>
      <c r="B7" s="58" t="s">
        <v>80</v>
      </c>
      <c r="C7" s="59"/>
      <c r="D7" s="60" t="s">
        <v>100</v>
      </c>
      <c r="E7" s="61" t="s">
        <v>101</v>
      </c>
      <c r="F7" s="61" t="s">
        <v>102</v>
      </c>
      <c r="G7" s="61" t="s">
        <v>103</v>
      </c>
      <c r="H7" s="61" t="s">
        <v>104</v>
      </c>
      <c r="I7" s="61" t="s">
        <v>105</v>
      </c>
      <c r="J7" s="62" t="s">
        <v>106</v>
      </c>
      <c r="K7" s="63"/>
      <c r="L7" s="64"/>
    </row>
    <row r="8" spans="1:12" s="49" customFormat="1" ht="21.95" customHeight="1" thickBot="1" x14ac:dyDescent="0.2">
      <c r="A8" s="199"/>
      <c r="B8" s="65" t="s">
        <v>81</v>
      </c>
      <c r="C8" s="66" t="s">
        <v>82</v>
      </c>
      <c r="D8" s="67" t="s">
        <v>107</v>
      </c>
      <c r="E8" s="68" t="s">
        <v>108</v>
      </c>
      <c r="F8" s="67"/>
      <c r="G8" s="67" t="s">
        <v>109</v>
      </c>
      <c r="H8" s="67" t="s">
        <v>107</v>
      </c>
      <c r="I8" s="67"/>
      <c r="J8" s="69" t="s">
        <v>110</v>
      </c>
      <c r="K8" s="70"/>
      <c r="L8" s="71"/>
    </row>
    <row r="9" spans="1:12" s="49" customFormat="1" ht="21.95" customHeight="1" x14ac:dyDescent="0.15">
      <c r="A9" s="72">
        <v>1</v>
      </c>
      <c r="B9" s="73">
        <f>測定データ!A25</f>
        <v>300</v>
      </c>
      <c r="C9" s="74">
        <f>測定データ!C25</f>
        <v>400</v>
      </c>
      <c r="D9" s="75" t="str">
        <f>IF(測定データ!F25="","",測定データ!F25)</f>
        <v/>
      </c>
      <c r="E9" s="76">
        <f>測定データ!D25</f>
        <v>10.4</v>
      </c>
      <c r="F9" s="75">
        <f>測定データ!E25</f>
        <v>1.3</v>
      </c>
      <c r="G9" s="77" t="str">
        <f t="shared" ref="G9:G26" si="0">IF(D9="","",ROUND(E9/(D9*0.0001)/3600,2))</f>
        <v/>
      </c>
      <c r="H9" s="147">
        <f>ROUND(1/(0.36*((2*9.8)/(353/(273+測定データ!$I$14)))^0.5)*E9,1)</f>
        <v>7.3</v>
      </c>
      <c r="I9" s="77" t="str">
        <f>IF(G9="","",ROUND((2*9.8)/((353/(273+測定データ!$I$14))*G9^2),1))</f>
        <v/>
      </c>
      <c r="J9" s="79">
        <f t="shared" ref="J9:J26" si="1">E9</f>
        <v>10.4</v>
      </c>
      <c r="K9" s="80" t="s">
        <v>111</v>
      </c>
      <c r="L9" s="81">
        <f t="shared" ref="L9:L26" si="2">ROUND(1/F9,2)</f>
        <v>0.77</v>
      </c>
    </row>
    <row r="10" spans="1:12" s="49" customFormat="1" ht="21.95" customHeight="1" x14ac:dyDescent="0.15">
      <c r="A10" s="82">
        <v>2</v>
      </c>
      <c r="B10" s="83">
        <f>測定データ!A26</f>
        <v>400.5</v>
      </c>
      <c r="C10" s="84">
        <f>測定データ!C26</f>
        <v>500</v>
      </c>
      <c r="D10" s="85" t="str">
        <f>IF(測定データ!F26="","",測定データ!F26)</f>
        <v/>
      </c>
      <c r="E10" s="86">
        <f>測定データ!D26</f>
        <v>13.2</v>
      </c>
      <c r="F10" s="85">
        <f>測定データ!E26</f>
        <v>1.4</v>
      </c>
      <c r="G10" s="87" t="str">
        <f t="shared" si="0"/>
        <v/>
      </c>
      <c r="H10" s="86">
        <f>ROUND(1/(0.36*((2*9.8)/(353/(273+測定データ!$I$14)))^0.5)*E10,1)</f>
        <v>9.3000000000000007</v>
      </c>
      <c r="I10" s="87" t="str">
        <f>IF(G10="","",ROUND((2*9.8)/((353/(273+測定データ!$I$14))*G10^2),1))</f>
        <v/>
      </c>
      <c r="J10" s="89">
        <f t="shared" si="1"/>
        <v>13.2</v>
      </c>
      <c r="K10" s="90" t="s">
        <v>111</v>
      </c>
      <c r="L10" s="91">
        <f t="shared" si="2"/>
        <v>0.71</v>
      </c>
    </row>
    <row r="11" spans="1:12" s="49" customFormat="1" ht="21.95" customHeight="1" x14ac:dyDescent="0.15">
      <c r="A11" s="82">
        <v>3</v>
      </c>
      <c r="B11" s="83">
        <f>測定データ!A27</f>
        <v>500.5</v>
      </c>
      <c r="C11" s="84">
        <f>測定データ!C27</f>
        <v>600</v>
      </c>
      <c r="D11" s="85" t="str">
        <f>IF(測定データ!F27="","",測定データ!F27)</f>
        <v/>
      </c>
      <c r="E11" s="86">
        <f>測定データ!D27</f>
        <v>16.100000000000001</v>
      </c>
      <c r="F11" s="85">
        <f>測定データ!E27</f>
        <v>1.4</v>
      </c>
      <c r="G11" s="87" t="str">
        <f t="shared" si="0"/>
        <v/>
      </c>
      <c r="H11" s="86">
        <f>ROUND(1/(0.36*((2*9.8)/(353/(273+測定データ!$I$14)))^0.5)*E11,1)</f>
        <v>11.3</v>
      </c>
      <c r="I11" s="87" t="str">
        <f>IF(G11="","",ROUND((2*9.8)/((353/(273+測定データ!$I$14))*G11^2),1))</f>
        <v/>
      </c>
      <c r="J11" s="89">
        <f t="shared" si="1"/>
        <v>16.100000000000001</v>
      </c>
      <c r="K11" s="90" t="s">
        <v>93</v>
      </c>
      <c r="L11" s="91">
        <f t="shared" si="2"/>
        <v>0.71</v>
      </c>
    </row>
    <row r="12" spans="1:12" s="49" customFormat="1" ht="21.95" customHeight="1" x14ac:dyDescent="0.15">
      <c r="A12" s="82">
        <v>4</v>
      </c>
      <c r="B12" s="83">
        <f>測定データ!A28</f>
        <v>600.5</v>
      </c>
      <c r="C12" s="84">
        <f>測定データ!C28</f>
        <v>700</v>
      </c>
      <c r="D12" s="85" t="str">
        <f>IF(測定データ!F28="","",測定データ!F28)</f>
        <v/>
      </c>
      <c r="E12" s="86">
        <f>測定データ!D28</f>
        <v>19</v>
      </c>
      <c r="F12" s="85">
        <f>測定データ!E28</f>
        <v>1.5</v>
      </c>
      <c r="G12" s="87" t="str">
        <f t="shared" si="0"/>
        <v/>
      </c>
      <c r="H12" s="86">
        <f>ROUND(1/(0.36*((2*9.8)/(353/(273+測定データ!$I$14)))^0.5)*E12,1)</f>
        <v>13.3</v>
      </c>
      <c r="I12" s="87" t="str">
        <f>IF(G12="","",ROUND((2*9.8)/((353/(273+測定データ!$I$14))*G12^2),1))</f>
        <v/>
      </c>
      <c r="J12" s="89">
        <f t="shared" si="1"/>
        <v>19</v>
      </c>
      <c r="K12" s="90" t="s">
        <v>93</v>
      </c>
      <c r="L12" s="91">
        <f t="shared" si="2"/>
        <v>0.67</v>
      </c>
    </row>
    <row r="13" spans="1:12" s="49" customFormat="1" ht="21.95" customHeight="1" x14ac:dyDescent="0.15">
      <c r="A13" s="82">
        <v>5</v>
      </c>
      <c r="B13" s="83">
        <f>測定データ!A29</f>
        <v>700.5</v>
      </c>
      <c r="C13" s="84">
        <f>測定データ!C29</f>
        <v>800</v>
      </c>
      <c r="D13" s="85" t="str">
        <f>IF(測定データ!F29="","",測定データ!F29)</f>
        <v/>
      </c>
      <c r="E13" s="86">
        <f>測定データ!D29</f>
        <v>21.9</v>
      </c>
      <c r="F13" s="85">
        <f>測定データ!E29</f>
        <v>1.6</v>
      </c>
      <c r="G13" s="87" t="str">
        <f t="shared" si="0"/>
        <v/>
      </c>
      <c r="H13" s="86">
        <f>ROUND(1/(0.36*((2*9.8)/(353/(273+測定データ!$I$14)))^0.5)*E13,1)</f>
        <v>15.4</v>
      </c>
      <c r="I13" s="87" t="str">
        <f>IF(G13="","",ROUND((2*9.8)/((353/(273+測定データ!$I$14))*G13^2),1))</f>
        <v/>
      </c>
      <c r="J13" s="89">
        <f t="shared" si="1"/>
        <v>21.9</v>
      </c>
      <c r="K13" s="90" t="s">
        <v>93</v>
      </c>
      <c r="L13" s="91">
        <f t="shared" si="2"/>
        <v>0.63</v>
      </c>
    </row>
    <row r="14" spans="1:12" s="49" customFormat="1" ht="21.95" customHeight="1" x14ac:dyDescent="0.15">
      <c r="A14" s="82">
        <v>6</v>
      </c>
      <c r="B14" s="83">
        <f>測定データ!A30</f>
        <v>800.5</v>
      </c>
      <c r="C14" s="84">
        <f>測定データ!C30</f>
        <v>900</v>
      </c>
      <c r="D14" s="85" t="str">
        <f>IF(測定データ!F30="","",測定データ!F30)</f>
        <v/>
      </c>
      <c r="E14" s="86">
        <f>測定データ!D30</f>
        <v>24.8</v>
      </c>
      <c r="F14" s="85">
        <f>測定データ!E30</f>
        <v>1.6</v>
      </c>
      <c r="G14" s="87" t="str">
        <f t="shared" si="0"/>
        <v/>
      </c>
      <c r="H14" s="86">
        <f>ROUND(1/(0.36*((2*9.8)/(353/(273+測定データ!$I$14)))^0.5)*E14,1)</f>
        <v>17.399999999999999</v>
      </c>
      <c r="I14" s="87" t="str">
        <f>IF(G14="","",ROUND((2*9.8)/((353/(273+測定データ!$I$14))*G14^2),1))</f>
        <v/>
      </c>
      <c r="J14" s="89">
        <f t="shared" si="1"/>
        <v>24.8</v>
      </c>
      <c r="K14" s="90" t="s">
        <v>93</v>
      </c>
      <c r="L14" s="91">
        <f t="shared" si="2"/>
        <v>0.63</v>
      </c>
    </row>
    <row r="15" spans="1:12" s="49" customFormat="1" ht="21.95" customHeight="1" x14ac:dyDescent="0.15">
      <c r="A15" s="82">
        <v>7</v>
      </c>
      <c r="B15" s="83">
        <f>測定データ!A31</f>
        <v>900.5</v>
      </c>
      <c r="C15" s="84">
        <f>測定データ!C31</f>
        <v>1000</v>
      </c>
      <c r="D15" s="85" t="str">
        <f>IF(測定データ!F31="","",測定データ!F31)</f>
        <v/>
      </c>
      <c r="E15" s="86">
        <f>測定データ!D31</f>
        <v>27.6</v>
      </c>
      <c r="F15" s="85">
        <f>測定データ!E31</f>
        <v>1.7</v>
      </c>
      <c r="G15" s="87" t="str">
        <f t="shared" si="0"/>
        <v/>
      </c>
      <c r="H15" s="86">
        <f>ROUND(1/(0.36*((2*9.8)/(353/(273+測定データ!$I$14)))^0.5)*E15,1)</f>
        <v>19.399999999999999</v>
      </c>
      <c r="I15" s="87" t="str">
        <f>IF(G15="","",ROUND((2*9.8)/((353/(273+測定データ!$I$14))*G15^2),1))</f>
        <v/>
      </c>
      <c r="J15" s="89">
        <f t="shared" si="1"/>
        <v>27.6</v>
      </c>
      <c r="K15" s="90" t="s">
        <v>93</v>
      </c>
      <c r="L15" s="91">
        <f t="shared" si="2"/>
        <v>0.59</v>
      </c>
    </row>
    <row r="16" spans="1:12" s="49" customFormat="1" ht="21.95" customHeight="1" x14ac:dyDescent="0.15">
      <c r="A16" s="82">
        <v>8</v>
      </c>
      <c r="B16" s="83">
        <f>測定データ!A32</f>
        <v>1000.5</v>
      </c>
      <c r="C16" s="84">
        <f>測定データ!C32</f>
        <v>1100</v>
      </c>
      <c r="D16" s="85" t="str">
        <f>IF(測定データ!F32="","",測定データ!F32)</f>
        <v/>
      </c>
      <c r="E16" s="86">
        <f>測定データ!D32</f>
        <v>30.5</v>
      </c>
      <c r="F16" s="85">
        <f>測定データ!E32</f>
        <v>1.8</v>
      </c>
      <c r="G16" s="87" t="str">
        <f t="shared" si="0"/>
        <v/>
      </c>
      <c r="H16" s="86">
        <f>ROUND(1/(0.36*((2*9.8)/(353/(273+測定データ!$I$14)))^0.5)*E16,1)</f>
        <v>21.4</v>
      </c>
      <c r="I16" s="87" t="str">
        <f>IF(G16="","",ROUND((2*9.8)/((353/(273+測定データ!$I$14))*G16^2),1))</f>
        <v/>
      </c>
      <c r="J16" s="89">
        <f t="shared" si="1"/>
        <v>30.5</v>
      </c>
      <c r="K16" s="90" t="s">
        <v>93</v>
      </c>
      <c r="L16" s="91">
        <f t="shared" si="2"/>
        <v>0.56000000000000005</v>
      </c>
    </row>
    <row r="17" spans="1:17" s="49" customFormat="1" ht="21.95" customHeight="1" x14ac:dyDescent="0.15">
      <c r="A17" s="82">
        <v>9</v>
      </c>
      <c r="B17" s="83">
        <f>測定データ!A33</f>
        <v>1100.5</v>
      </c>
      <c r="C17" s="84">
        <f>測定データ!C33</f>
        <v>1200</v>
      </c>
      <c r="D17" s="85" t="str">
        <f>IF(測定データ!F33="","",測定データ!F33)</f>
        <v/>
      </c>
      <c r="E17" s="86">
        <f>測定データ!D33</f>
        <v>33.4</v>
      </c>
      <c r="F17" s="85">
        <f>測定データ!E33</f>
        <v>1.9</v>
      </c>
      <c r="G17" s="87" t="str">
        <f t="shared" si="0"/>
        <v/>
      </c>
      <c r="H17" s="86">
        <f>ROUND(1/(0.36*((2*9.8)/(353/(273+測定データ!$I$14)))^0.5)*E17,1)</f>
        <v>23.4</v>
      </c>
      <c r="I17" s="87" t="str">
        <f>IF(G17="","",ROUND((2*9.8)/((353/(273+測定データ!$I$14))*G17^2),1))</f>
        <v/>
      </c>
      <c r="J17" s="89">
        <f t="shared" si="1"/>
        <v>33.4</v>
      </c>
      <c r="K17" s="90" t="s">
        <v>93</v>
      </c>
      <c r="L17" s="91">
        <f t="shared" si="2"/>
        <v>0.53</v>
      </c>
    </row>
    <row r="18" spans="1:17" s="49" customFormat="1" ht="21.95" customHeight="1" x14ac:dyDescent="0.15">
      <c r="A18" s="82">
        <v>10</v>
      </c>
      <c r="B18" s="83">
        <f>測定データ!A34</f>
        <v>1200.5</v>
      </c>
      <c r="C18" s="84">
        <f>測定データ!C34</f>
        <v>1300</v>
      </c>
      <c r="D18" s="85" t="str">
        <f>IF(測定データ!F34="","",測定データ!F34)</f>
        <v/>
      </c>
      <c r="E18" s="86">
        <f>測定データ!D34</f>
        <v>36.299999999999997</v>
      </c>
      <c r="F18" s="85">
        <f>測定データ!E34</f>
        <v>1.9</v>
      </c>
      <c r="G18" s="87" t="str">
        <f t="shared" si="0"/>
        <v/>
      </c>
      <c r="H18" s="86">
        <f>ROUND(1/(0.36*((2*9.8)/(353/(273+測定データ!$I$14)))^0.5)*E18,1)</f>
        <v>25.5</v>
      </c>
      <c r="I18" s="87" t="str">
        <f>IF(G18="","",ROUND((2*9.8)/((353/(273+測定データ!$I$14))*G18^2),1))</f>
        <v/>
      </c>
      <c r="J18" s="89">
        <f t="shared" si="1"/>
        <v>36.299999999999997</v>
      </c>
      <c r="K18" s="90" t="s">
        <v>93</v>
      </c>
      <c r="L18" s="91">
        <f t="shared" si="2"/>
        <v>0.53</v>
      </c>
    </row>
    <row r="19" spans="1:17" s="49" customFormat="1" ht="21.95" customHeight="1" x14ac:dyDescent="0.15">
      <c r="A19" s="82">
        <v>11</v>
      </c>
      <c r="B19" s="83">
        <f>測定データ!A35</f>
        <v>1300.5</v>
      </c>
      <c r="C19" s="84">
        <f>測定データ!C35</f>
        <v>1400</v>
      </c>
      <c r="D19" s="85" t="str">
        <f>IF(測定データ!F35="","",測定データ!F35)</f>
        <v/>
      </c>
      <c r="E19" s="86">
        <f>測定データ!D35</f>
        <v>39.200000000000003</v>
      </c>
      <c r="F19" s="85">
        <f>測定データ!E35</f>
        <v>2</v>
      </c>
      <c r="G19" s="87" t="str">
        <f t="shared" si="0"/>
        <v/>
      </c>
      <c r="H19" s="86">
        <f>ROUND(1/(0.36*((2*9.8)/(353/(273+測定データ!$I$14)))^0.5)*E19,1)</f>
        <v>27.5</v>
      </c>
      <c r="I19" s="87" t="str">
        <f>IF(G19="","",ROUND((2*9.8)/((353/(273+測定データ!$I$14))*G19^2),1))</f>
        <v/>
      </c>
      <c r="J19" s="89">
        <f t="shared" si="1"/>
        <v>39.200000000000003</v>
      </c>
      <c r="K19" s="90" t="s">
        <v>93</v>
      </c>
      <c r="L19" s="91">
        <f t="shared" si="2"/>
        <v>0.5</v>
      </c>
    </row>
    <row r="20" spans="1:17" s="49" customFormat="1" ht="21.95" customHeight="1" x14ac:dyDescent="0.15">
      <c r="A20" s="82">
        <v>12</v>
      </c>
      <c r="B20" s="83">
        <f>測定データ!A36</f>
        <v>1400.5</v>
      </c>
      <c r="C20" s="84">
        <f>測定データ!C36</f>
        <v>1500</v>
      </c>
      <c r="D20" s="85" t="str">
        <f>IF(測定データ!F36="","",測定データ!F36)</f>
        <v/>
      </c>
      <c r="E20" s="86">
        <f>測定データ!D36</f>
        <v>42</v>
      </c>
      <c r="F20" s="85">
        <f>測定データ!E36</f>
        <v>2</v>
      </c>
      <c r="G20" s="87" t="str">
        <f t="shared" si="0"/>
        <v/>
      </c>
      <c r="H20" s="86">
        <f>ROUND(1/(0.36*((2*9.8)/(353/(273+測定データ!$I$14)))^0.5)*E20,1)</f>
        <v>29.5</v>
      </c>
      <c r="I20" s="87" t="str">
        <f>IF(G20="","",ROUND((2*9.8)/((353/(273+測定データ!$I$14))*G20^2),1))</f>
        <v/>
      </c>
      <c r="J20" s="89">
        <f t="shared" si="1"/>
        <v>42</v>
      </c>
      <c r="K20" s="90" t="s">
        <v>93</v>
      </c>
      <c r="L20" s="91">
        <f t="shared" si="2"/>
        <v>0.5</v>
      </c>
    </row>
    <row r="21" spans="1:17" s="49" customFormat="1" ht="21.95" customHeight="1" x14ac:dyDescent="0.15">
      <c r="A21" s="82">
        <v>13</v>
      </c>
      <c r="B21" s="83">
        <f>測定データ!A37</f>
        <v>1500.5</v>
      </c>
      <c r="C21" s="84">
        <f>測定データ!C37</f>
        <v>1600</v>
      </c>
      <c r="D21" s="85" t="str">
        <f>IF(測定データ!F37="","",測定データ!F37)</f>
        <v/>
      </c>
      <c r="E21" s="86">
        <f>測定データ!D37</f>
        <v>44.9</v>
      </c>
      <c r="F21" s="85">
        <f>測定データ!E37</f>
        <v>2</v>
      </c>
      <c r="G21" s="87" t="str">
        <f t="shared" si="0"/>
        <v/>
      </c>
      <c r="H21" s="86">
        <f>ROUND(1/(0.36*((2*9.8)/(353/(273+測定データ!$I$14)))^0.5)*E21,1)</f>
        <v>31.5</v>
      </c>
      <c r="I21" s="87" t="str">
        <f>IF(G21="","",ROUND((2*9.8)/((353/(273+測定データ!$I$14))*G21^2),1))</f>
        <v/>
      </c>
      <c r="J21" s="89">
        <f t="shared" si="1"/>
        <v>44.9</v>
      </c>
      <c r="K21" s="90" t="s">
        <v>93</v>
      </c>
      <c r="L21" s="91">
        <f t="shared" si="2"/>
        <v>0.5</v>
      </c>
    </row>
    <row r="22" spans="1:17" s="49" customFormat="1" ht="21.95" customHeight="1" x14ac:dyDescent="0.15">
      <c r="A22" s="82">
        <v>14</v>
      </c>
      <c r="B22" s="83">
        <f>測定データ!A38</f>
        <v>1600.5</v>
      </c>
      <c r="C22" s="84">
        <f>測定データ!C38</f>
        <v>1700</v>
      </c>
      <c r="D22" s="85" t="str">
        <f>IF(測定データ!F38="","",測定データ!F38)</f>
        <v/>
      </c>
      <c r="E22" s="86">
        <f>測定データ!D38</f>
        <v>47.8</v>
      </c>
      <c r="F22" s="85">
        <f>測定データ!E38</f>
        <v>2</v>
      </c>
      <c r="G22" s="87" t="str">
        <f t="shared" si="0"/>
        <v/>
      </c>
      <c r="H22" s="86">
        <f>ROUND(1/(0.36*((2*9.8)/(353/(273+測定データ!$I$14)))^0.5)*E22,1)</f>
        <v>33.5</v>
      </c>
      <c r="I22" s="87" t="str">
        <f>IF(G22="","",ROUND((2*9.8)/((353/(273+測定データ!$I$14))*G22^2),1))</f>
        <v/>
      </c>
      <c r="J22" s="89">
        <f t="shared" si="1"/>
        <v>47.8</v>
      </c>
      <c r="K22" s="90" t="s">
        <v>93</v>
      </c>
      <c r="L22" s="91">
        <f t="shared" si="2"/>
        <v>0.5</v>
      </c>
    </row>
    <row r="23" spans="1:17" s="49" customFormat="1" ht="21.95" customHeight="1" x14ac:dyDescent="0.15">
      <c r="A23" s="82">
        <v>15</v>
      </c>
      <c r="B23" s="83">
        <f>測定データ!A39</f>
        <v>1700.5</v>
      </c>
      <c r="C23" s="84">
        <f>測定データ!C39</f>
        <v>1800</v>
      </c>
      <c r="D23" s="85" t="str">
        <f>IF(測定データ!F39="","",測定データ!F39)</f>
        <v/>
      </c>
      <c r="E23" s="86">
        <f>測定データ!D39</f>
        <v>50.7</v>
      </c>
      <c r="F23" s="85">
        <f>測定データ!E39</f>
        <v>2</v>
      </c>
      <c r="G23" s="87" t="str">
        <f t="shared" si="0"/>
        <v/>
      </c>
      <c r="H23" s="86">
        <f>ROUND(1/(0.36*((2*9.8)/(353/(273+測定データ!$I$14)))^0.5)*E23,1)</f>
        <v>35.6</v>
      </c>
      <c r="I23" s="87" t="str">
        <f>IF(G23="","",ROUND((2*9.8)/((353/(273+測定データ!$I$14))*G23^2),1))</f>
        <v/>
      </c>
      <c r="J23" s="89">
        <f t="shared" si="1"/>
        <v>50.7</v>
      </c>
      <c r="K23" s="90" t="s">
        <v>93</v>
      </c>
      <c r="L23" s="91">
        <f t="shared" si="2"/>
        <v>0.5</v>
      </c>
    </row>
    <row r="24" spans="1:17" ht="21.75" x14ac:dyDescent="0.15">
      <c r="A24" s="82">
        <v>16</v>
      </c>
      <c r="B24" s="83">
        <f>測定データ!A40</f>
        <v>1800.5</v>
      </c>
      <c r="C24" s="84">
        <f>測定データ!C40</f>
        <v>1900</v>
      </c>
      <c r="D24" s="85" t="str">
        <f>IF(測定データ!F40="","",測定データ!F40)</f>
        <v/>
      </c>
      <c r="E24" s="86">
        <f>測定データ!D40</f>
        <v>53.6</v>
      </c>
      <c r="F24" s="85">
        <f>測定データ!E40</f>
        <v>2</v>
      </c>
      <c r="G24" s="87" t="str">
        <f t="shared" si="0"/>
        <v/>
      </c>
      <c r="H24" s="86">
        <f>ROUND(1/(0.36*((2*9.8)/(353/(273+測定データ!$I$14)))^0.5)*E24,1)</f>
        <v>37.6</v>
      </c>
      <c r="I24" s="87" t="str">
        <f>IF(G24="","",ROUND((2*9.8)/((353/(273+測定データ!$I$14))*G24^2),1))</f>
        <v/>
      </c>
      <c r="J24" s="89">
        <f t="shared" si="1"/>
        <v>53.6</v>
      </c>
      <c r="K24" s="90" t="s">
        <v>93</v>
      </c>
      <c r="L24" s="91">
        <f t="shared" si="2"/>
        <v>0.5</v>
      </c>
      <c r="O24" s="49"/>
      <c r="P24" s="49"/>
      <c r="Q24" s="49"/>
    </row>
    <row r="25" spans="1:17" ht="21.75" x14ac:dyDescent="0.15">
      <c r="A25" s="82">
        <v>17</v>
      </c>
      <c r="B25" s="83">
        <f>測定データ!A41</f>
        <v>1900.5</v>
      </c>
      <c r="C25" s="84">
        <f>測定データ!C41</f>
        <v>2000</v>
      </c>
      <c r="D25" s="85" t="str">
        <f>IF(測定データ!F41="","",測定データ!F41)</f>
        <v/>
      </c>
      <c r="E25" s="86">
        <f>測定データ!D41</f>
        <v>56.4</v>
      </c>
      <c r="F25" s="85">
        <f>測定データ!E41</f>
        <v>2</v>
      </c>
      <c r="G25" s="87" t="str">
        <f t="shared" si="0"/>
        <v/>
      </c>
      <c r="H25" s="86">
        <f>ROUND(1/(0.36*((2*9.8)/(353/(273+測定データ!$I$14)))^0.5)*E25,1)</f>
        <v>39.6</v>
      </c>
      <c r="I25" s="87" t="str">
        <f>IF(G25="","",ROUND((2*9.8)/((353/(273+測定データ!$I$14))*G25^2),1))</f>
        <v/>
      </c>
      <c r="J25" s="89">
        <f t="shared" si="1"/>
        <v>56.4</v>
      </c>
      <c r="K25" s="90" t="s">
        <v>93</v>
      </c>
      <c r="L25" s="91">
        <f t="shared" si="2"/>
        <v>0.5</v>
      </c>
      <c r="O25" s="49"/>
      <c r="P25" s="49"/>
      <c r="Q25" s="49"/>
    </row>
    <row r="26" spans="1:17" ht="22.5" thickBot="1" x14ac:dyDescent="0.2">
      <c r="A26" s="92">
        <v>18</v>
      </c>
      <c r="B26" s="93">
        <f>測定データ!A42</f>
        <v>2000.5</v>
      </c>
      <c r="C26" s="94">
        <f>測定データ!C42</f>
        <v>2700</v>
      </c>
      <c r="D26" s="95" t="str">
        <f>IF(測定データ!F42="","",測定データ!F42)</f>
        <v/>
      </c>
      <c r="E26" s="96">
        <f>測定データ!D42</f>
        <v>68</v>
      </c>
      <c r="F26" s="95">
        <f>測定データ!E42</f>
        <v>2</v>
      </c>
      <c r="G26" s="97" t="str">
        <f t="shared" si="0"/>
        <v/>
      </c>
      <c r="H26" s="96">
        <f>ROUND(1/(0.36*((2*9.8)/(353/(273+測定データ!$I$14)))^0.5)*E26,1)</f>
        <v>47.7</v>
      </c>
      <c r="I26" s="97" t="str">
        <f>IF(G26="","",ROUND((2*9.8)/((353/(273+測定データ!$I$14))*G26^2),1))</f>
        <v/>
      </c>
      <c r="J26" s="99">
        <f t="shared" si="1"/>
        <v>68</v>
      </c>
      <c r="K26" s="100" t="s">
        <v>98</v>
      </c>
      <c r="L26" s="101">
        <f t="shared" si="2"/>
        <v>0.5</v>
      </c>
      <c r="O26" s="49"/>
      <c r="P26" s="49"/>
      <c r="Q26" s="49"/>
    </row>
    <row r="27" spans="1:17" ht="14.25" x14ac:dyDescent="0.15">
      <c r="O27" s="49"/>
      <c r="P27" s="49"/>
      <c r="Q27" s="49"/>
    </row>
    <row r="28" spans="1:17" ht="14.25" x14ac:dyDescent="0.15">
      <c r="A28" s="46" t="s">
        <v>112</v>
      </c>
      <c r="O28" s="49"/>
      <c r="P28" s="49"/>
      <c r="Q28" s="49"/>
    </row>
    <row r="29" spans="1:17" ht="14.25" x14ac:dyDescent="0.15">
      <c r="O29" s="49"/>
      <c r="P29" s="49"/>
      <c r="Q29" s="49"/>
    </row>
    <row r="30" spans="1:17" x14ac:dyDescent="0.15">
      <c r="D30" s="102"/>
      <c r="E30" s="102"/>
      <c r="F30" s="102"/>
      <c r="G30" s="102"/>
      <c r="H30" s="102"/>
      <c r="I30" s="102"/>
      <c r="J30" s="102"/>
      <c r="K30" s="102"/>
    </row>
    <row r="31" spans="1:17" x14ac:dyDescent="0.15">
      <c r="D31" s="102"/>
      <c r="E31" s="102"/>
      <c r="F31" s="102"/>
      <c r="G31" s="102"/>
      <c r="H31" s="102"/>
      <c r="I31" s="102"/>
      <c r="J31" s="102"/>
      <c r="K31" s="102"/>
    </row>
  </sheetData>
  <mergeCells count="3">
    <mergeCell ref="A6:A8"/>
    <mergeCell ref="C3:I3"/>
    <mergeCell ref="F1:H1"/>
  </mergeCells>
  <phoneticPr fontId="1"/>
  <pageMargins left="0.78740157480314965" right="0.24" top="0.78740157480314965" bottom="0.39370078740157483" header="0.51181102362204722" footer="0.51181102362204722"/>
  <pageSetup paperSize="9" scale="13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C890333036A9F4DBE78ABC612170AB9" ma:contentTypeVersion="17" ma:contentTypeDescription="新しいドキュメントを作成します。" ma:contentTypeScope="" ma:versionID="e172163fcbeaf88a8e4fb79abc99f577">
  <xsd:schema xmlns:xsd="http://www.w3.org/2001/XMLSchema" xmlns:xs="http://www.w3.org/2001/XMLSchema" xmlns:p="http://schemas.microsoft.com/office/2006/metadata/properties" xmlns:ns2="5a368eb4-4314-482f-ac64-d6c5418c9145" xmlns:ns3="9cff24f7-b024-4f2d-a2b6-1e9905108fc5" targetNamespace="http://schemas.microsoft.com/office/2006/metadata/properties" ma:root="true" ma:fieldsID="2abd5c32310607d72bfaac0462da1d95" ns2:_="" ns3:_="">
    <xsd:import namespace="5a368eb4-4314-482f-ac64-d6c5418c9145"/>
    <xsd:import namespace="9cff24f7-b024-4f2d-a2b6-1e9905108fc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ea__x30f3__x30af_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68eb4-4314-482f-ac64-d6c5418c914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6a42b559-4515-4f16-a919-302285f78d1a}" ma:internalName="TaxCatchAll" ma:showField="CatchAllData" ma:web="5a368eb4-4314-482f-ac64-d6c5418c91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ff24f7-b024-4f2d-a2b6-1e9905108f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ea__x30f3__x30af_" ma:index="20" nillable="true" ma:displayName="リンク" ma:format="Hyperlink" ma:internalName="_x30ea__x30f3__x30af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0d8fb5ef-84c2-4614-b8cb-a0c547ba43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A82E5D-0699-4E9D-B0DB-7F4FB532DD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20D212-C6A7-41D8-8513-6A8FB40A30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68eb4-4314-482f-ac64-d6c5418c9145"/>
    <ds:schemaRef ds:uri="9cff24f7-b024-4f2d-a2b6-1e9905108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測定データ</vt:lpstr>
      <vt:lpstr>一覧表</vt:lpstr>
      <vt:lpstr>サイズ毎</vt:lpstr>
      <vt:lpstr>PQ-SV056 内窓ブレス</vt:lpstr>
      <vt:lpstr>一覧表 (客先提出用)</vt:lpstr>
      <vt:lpstr>'PQ-SV056 内窓ブレス'!Print_Area</vt:lpstr>
      <vt:lpstr>サイズ毎!Print_Area</vt:lpstr>
      <vt:lpstr>一覧表!Print_Area</vt:lpstr>
      <vt:lpstr>'一覧表 (客先提出用)'!Print_Area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dc:description>トステム㈱デュオマイルド（複層）</dc:description>
  <cp:lastModifiedBy>WS22</cp:lastModifiedBy>
  <cp:lastPrinted>2018-04-25T08:38:22Z</cp:lastPrinted>
  <dcterms:created xsi:type="dcterms:W3CDTF">1999-11-18T07:30:21Z</dcterms:created>
  <dcterms:modified xsi:type="dcterms:W3CDTF">2023-06-28T02:09:10Z</dcterms:modified>
</cp:coreProperties>
</file>