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 firstSheet="3" activeTab="3"/>
  </bookViews>
  <sheets>
    <sheet name="測定データ" sheetId="52220" state="hidden" r:id="rId1"/>
    <sheet name="一覧表" sheetId="52240" state="hidden" r:id="rId2"/>
    <sheet name="サイズ毎" sheetId="52241" state="hidden" r:id="rId3"/>
    <sheet name="PQ-SV013 SV601LG" sheetId="52242" r:id="rId4"/>
  </sheets>
  <definedNames>
    <definedName name="_xlnm.Print_Area" localSheetId="3">'PQ-SV013 SV601LG'!$A$1:$H$26</definedName>
    <definedName name="_xlnm.Print_Area" localSheetId="2">サイズ毎!$A$1:$H$19</definedName>
    <definedName name="_xlnm.Print_Area" localSheetId="1">一覧表!$A$1:$L$16</definedName>
  </definedNames>
  <calcPr calcId="162913"/>
</workbook>
</file>

<file path=xl/calcChain.xml><?xml version="1.0" encoding="utf-8"?>
<calcChain xmlns="http://schemas.openxmlformats.org/spreadsheetml/2006/main">
  <c r="D9" i="52241" l="1"/>
  <c r="D20" i="52242" s="1"/>
  <c r="C25" i="52220" l="1"/>
  <c r="C10" i="52240"/>
  <c r="C26" i="52220"/>
  <c r="B26" i="52220" s="1"/>
  <c r="C27" i="52220"/>
  <c r="C8" i="52241"/>
  <c r="C7" i="52241"/>
  <c r="G5" i="52241"/>
  <c r="G4" i="52241"/>
  <c r="B11" i="52240"/>
  <c r="B10" i="52240"/>
  <c r="J4" i="52240"/>
  <c r="C4" i="52240"/>
  <c r="C3" i="52240"/>
  <c r="J1" i="52240"/>
  <c r="D10" i="52240"/>
  <c r="D11" i="52240"/>
  <c r="D14" i="52240"/>
  <c r="D13" i="52240"/>
  <c r="D12" i="52240"/>
  <c r="B12" i="52240"/>
  <c r="B13" i="52240"/>
  <c r="B14" i="52240"/>
  <c r="B25" i="52220"/>
  <c r="E25" i="52220"/>
  <c r="F10" i="52240" s="1"/>
  <c r="L10" i="52240" s="1"/>
  <c r="C11" i="52240"/>
  <c r="C12" i="52240"/>
  <c r="B27" i="52220"/>
  <c r="D27" i="52220" s="1"/>
  <c r="C28" i="52220"/>
  <c r="B28" i="52220" s="1"/>
  <c r="C13" i="52240"/>
  <c r="C14" i="52240"/>
  <c r="B29" i="52220"/>
  <c r="D29" i="52220" s="1"/>
  <c r="E29" i="52220"/>
  <c r="F14" i="52240" s="1"/>
  <c r="L14" i="52240" s="1"/>
  <c r="E27" i="52220"/>
  <c r="F12" i="52240"/>
  <c r="L12" i="52240" s="1"/>
  <c r="D25" i="52220"/>
  <c r="E10" i="52240" s="1"/>
  <c r="H25" i="52220"/>
  <c r="D14" i="52241" l="1"/>
  <c r="D12" i="52241" s="1"/>
  <c r="D13" i="52241"/>
  <c r="F24" i="52242" s="1"/>
  <c r="D10" i="52241"/>
  <c r="D22" i="52242" s="1"/>
  <c r="E28" i="52220"/>
  <c r="F13" i="52240" s="1"/>
  <c r="L13" i="52240" s="1"/>
  <c r="D28" i="52220"/>
  <c r="E12" i="52240"/>
  <c r="H27" i="52220"/>
  <c r="H10" i="52240"/>
  <c r="J10" i="52240"/>
  <c r="G10" i="52240"/>
  <c r="I10" i="52240" s="1"/>
  <c r="E26" i="52220"/>
  <c r="F11" i="52240" s="1"/>
  <c r="L11" i="52240" s="1"/>
  <c r="D26" i="52220"/>
  <c r="H29" i="52220"/>
  <c r="E14" i="52240"/>
  <c r="D21" i="52242" l="1"/>
  <c r="H29" i="52242" s="1"/>
  <c r="D11" i="52241"/>
  <c r="F12" i="52241"/>
  <c r="H22" i="52241"/>
  <c r="B22" i="52241"/>
  <c r="F22" i="52241"/>
  <c r="G22" i="52241"/>
  <c r="C22" i="52241"/>
  <c r="E22" i="52241"/>
  <c r="D22" i="52241"/>
  <c r="D16" i="52241"/>
  <c r="D17" i="52241" s="1"/>
  <c r="H14" i="52240"/>
  <c r="J14" i="52240"/>
  <c r="G14" i="52240"/>
  <c r="I14" i="52240" s="1"/>
  <c r="H12" i="52240"/>
  <c r="J12" i="52240"/>
  <c r="G12" i="52240"/>
  <c r="I12" i="52240" s="1"/>
  <c r="E11" i="52240"/>
  <c r="H26" i="52220"/>
  <c r="E13" i="52240"/>
  <c r="H28" i="52220"/>
  <c r="D24" i="52242"/>
  <c r="D15" i="52241"/>
  <c r="D23" i="52242"/>
  <c r="G29" i="52242" l="1"/>
  <c r="E29" i="52242"/>
  <c r="D29" i="52242"/>
  <c r="B29" i="52242"/>
  <c r="F29" i="52242"/>
  <c r="C29" i="52242"/>
  <c r="H11" i="52240"/>
  <c r="J11" i="52240"/>
  <c r="G11" i="52240"/>
  <c r="I11" i="52240" s="1"/>
  <c r="H13" i="52240"/>
  <c r="J13" i="52240"/>
  <c r="G13" i="52240"/>
  <c r="I13" i="52240" s="1"/>
</calcChain>
</file>

<file path=xl/sharedStrings.xml><?xml version="1.0" encoding="utf-8"?>
<sst xmlns="http://schemas.openxmlformats.org/spreadsheetml/2006/main" count="134" uniqueCount="103">
  <si>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</si>
  <si>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</si>
  <si>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</si>
  <si>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</si>
  <si>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</si>
  <si>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</si>
  <si>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</si>
  <si>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</si>
  <si>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</si>
  <si>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</si>
  <si>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</si>
  <si>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</si>
  <si>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</si>
  <si>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</si>
  <si>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</si>
  <si>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</si>
  <si>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</si>
  <si>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</si>
  <si>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</si>
  <si>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</si>
  <si>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通気率</t>
    <rPh sb="0" eb="2">
      <t>ツウキ</t>
    </rPh>
    <rPh sb="2" eb="3">
      <t>リツ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</si>
  <si>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</si>
  <si>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相当風速</t>
    <rPh sb="0" eb="2">
      <t>ソウトウ</t>
    </rPh>
    <rPh sb="2" eb="4">
      <t>フウソク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</si>
  <si>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</si>
  <si>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</si>
  <si>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</si>
  <si>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通気面積(cm2)</t>
    <rPh sb="0" eb="2">
      <t>ツウキ</t>
    </rPh>
    <rPh sb="2" eb="4">
      <t>メンセキ</t>
    </rPh>
    <phoneticPr fontId="1"/>
  </si>
  <si>
    <t>Ｗ(mm)</t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</si>
  <si>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</si>
  <si>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</si>
  <si>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</si>
  <si>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</si>
  <si>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</si>
  <si>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</si>
  <si>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</si>
  <si>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</si>
  <si>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</si>
  <si>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</si>
  <si>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</si>
  <si>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Ｗ-ａ関係式</t>
    <rPh sb="3" eb="5">
      <t>カンケイ</t>
    </rPh>
    <rPh sb="5" eb="6">
      <t>シキ</t>
    </rPh>
    <phoneticPr fontId="1"/>
  </si>
  <si>
    <t>Ｗ-ｎ関係式</t>
    <rPh sb="3" eb="5">
      <t>カンケイ</t>
    </rPh>
    <rPh sb="5" eb="6">
      <t>シキ</t>
    </rPh>
    <phoneticPr fontId="1"/>
  </si>
  <si>
    <t>グラフより</t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</si>
  <si>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</si>
  <si>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</si>
  <si>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</si>
  <si>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</si>
  <si>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</si>
  <si>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</si>
  <si>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No．</t>
    <phoneticPr fontId="1"/>
  </si>
  <si>
    <t>Ｗ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</si>
  <si>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</si>
  <si>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</si>
  <si>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</si>
  <si>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</si>
  <si>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</si>
  <si>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</si>
  <si>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</si>
  <si>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</si>
  <si>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</si>
  <si>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</si>
  <si>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</si>
  <si>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</si>
  <si>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製品長さ</t>
    <rPh sb="0" eb="2">
      <t>セイヒン</t>
    </rPh>
    <rPh sb="2" eb="3">
      <t>ナガ</t>
    </rPh>
    <phoneticPr fontId="1"/>
  </si>
  <si>
    <t>サイズ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</si>
  <si>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</si>
  <si>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</si>
  <si>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</si>
  <si>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</si>
  <si>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</si>
  <si>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</si>
  <si>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</si>
  <si>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</si>
  <si>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</si>
  <si>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</si>
  <si>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</si>
  <si>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担　当</t>
    <rPh sb="0" eb="1">
      <t>ニナ</t>
    </rPh>
    <rPh sb="2" eb="3">
      <t>トウ</t>
    </rPh>
    <phoneticPr fontId="1"/>
  </si>
  <si>
    <t>＊　天井高２．７ｍ及び⊿Ｐ＝９.８Ｐａで計算</t>
    <rPh sb="2" eb="4">
      <t>テンジョウ</t>
    </rPh>
    <rPh sb="4" eb="5">
      <t>タカ</t>
    </rPh>
    <rPh sb="9" eb="10">
      <t>オヨ</t>
    </rPh>
    <rPh sb="20" eb="22">
      <t>ケイサン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</si>
  <si>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</si>
  <si>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ｙ＝</t>
    <phoneticPr fontId="1"/>
  </si>
  <si>
    <t>ｘ</t>
    <phoneticPr fontId="1"/>
  </si>
  <si>
    <t>ＳＶ－＊＊＊</t>
    <phoneticPr fontId="1"/>
  </si>
  <si>
    <t>小野寺</t>
    <rPh sb="0" eb="3">
      <t>オノデラ</t>
    </rPh>
    <phoneticPr fontId="1"/>
  </si>
  <si>
    <t>測定日</t>
    <rPh sb="0" eb="2">
      <t>ソクテイ</t>
    </rPh>
    <rPh sb="2" eb="3">
      <t>ビ</t>
    </rPh>
    <phoneticPr fontId="1"/>
  </si>
  <si>
    <t>２００４，　５，１４</t>
    <phoneticPr fontId="1"/>
  </si>
  <si>
    <t>２００３，　６，２０</t>
    <phoneticPr fontId="1"/>
  </si>
  <si>
    <t>Ａ＝</t>
    <phoneticPr fontId="1"/>
  </si>
  <si>
    <t>(⊿P/9.8)</t>
    <phoneticPr fontId="1"/>
  </si>
  <si>
    <t>Ｗ＝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</si>
  <si>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</si>
  <si>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</si>
  <si>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</si>
  <si>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</si>
  <si>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ルーバーブレス</t>
    <phoneticPr fontId="1"/>
  </si>
  <si>
    <t>ＳＶ６０１Ｌ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</si>
  <si>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</si>
  <si>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</si>
  <si>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mm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</si>
  <si>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</si>
  <si>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PQ-SV013 SV601G-9</t>
    <phoneticPr fontId="1"/>
  </si>
  <si>
    <t>株式会社　佐原</t>
    <phoneticPr fontId="1"/>
  </si>
  <si>
    <t>第3種換気　給気口</t>
    <phoneticPr fontId="1"/>
  </si>
  <si>
    <t>ルーバーブレス　商品図</t>
    <rPh sb="8" eb="10">
      <t>ショウヒン</t>
    </rPh>
    <rPh sb="10" eb="11">
      <t>ズ</t>
    </rPh>
    <phoneticPr fontId="1"/>
  </si>
  <si>
    <t>換気框Ｗ寸法（内法Ｗ）
（200.0mm～890.0mm）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</si>
</sst>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  <numFmt numFmtId="184" formatCode="0.00_);[Red]\(0.00\)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6">
    <xf numFmtId="0" fontId="0" fillId="0" borderId="0" xfId="0"/>
    <xf numFmtId="0" fontId="2" fillId="0" borderId="0" xfId="0" applyFont="1" applyFill="1" applyAlignment="1">
      <alignment horizontal="center" vertical="center"/>
    </xf>
    <xf numFmtId="180" fontId="3" fillId="0" borderId="1" xfId="0" applyNumberFormat="1" applyFont="1" applyBorder="1" applyAlignment="1">
      <alignment vertical="center"/>
    </xf>
    <xf numFmtId="180" fontId="3" fillId="0" borderId="2" xfId="0" applyNumberFormat="1" applyFont="1" applyBorder="1" applyAlignment="1">
      <alignment vertical="center"/>
    </xf>
    <xf numFmtId="180" fontId="3" fillId="0" borderId="0" xfId="0" applyNumberFormat="1" applyFont="1" applyBorder="1" applyAlignment="1">
      <alignment vertical="center"/>
    </xf>
    <xf numFmtId="180" fontId="12" fillId="0" borderId="0" xfId="0" applyNumberFormat="1" applyFont="1" applyFill="1" applyBorder="1" applyAlignment="1">
      <alignment vertical="center"/>
    </xf>
    <xf numFmtId="178" fontId="3" fillId="0" borderId="3" xfId="0" applyNumberFormat="1" applyFont="1" applyBorder="1" applyAlignment="1">
      <alignment vertical="center" shrinkToFit="1"/>
    </xf>
    <xf numFmtId="178" fontId="3" fillId="0" borderId="1" xfId="0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  <xf numFmtId="178" fontId="3" fillId="0" borderId="4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7" xfId="0" applyNumberFormat="1" applyFont="1" applyBorder="1" applyAlignment="1">
      <alignment vertical="center"/>
    </xf>
    <xf numFmtId="178" fontId="3" fillId="0" borderId="8" xfId="0" applyNumberFormat="1" applyFont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Continuous" vertical="center" wrapText="1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vertical="center"/>
    </xf>
    <xf numFmtId="180" fontId="3" fillId="0" borderId="3" xfId="0" applyNumberFormat="1" applyFont="1" applyFill="1" applyBorder="1" applyAlignment="1">
      <alignment vertical="center"/>
    </xf>
    <xf numFmtId="180" fontId="3" fillId="0" borderId="1" xfId="0" applyNumberFormat="1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180" fontId="3" fillId="0" borderId="2" xfId="0" applyNumberFormat="1" applyFont="1" applyFill="1" applyBorder="1" applyAlignment="1">
      <alignment vertical="center"/>
    </xf>
    <xf numFmtId="180" fontId="3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180" fontId="3" fillId="0" borderId="3" xfId="0" applyNumberFormat="1" applyFont="1" applyBorder="1" applyAlignment="1">
      <alignment vertical="center"/>
    </xf>
    <xf numFmtId="178" fontId="3" fillId="0" borderId="26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80" fontId="3" fillId="0" borderId="27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80" fontId="3" fillId="0" borderId="29" xfId="0" applyNumberFormat="1" applyFont="1" applyBorder="1" applyAlignment="1">
      <alignment vertical="center"/>
    </xf>
    <xf numFmtId="178" fontId="3" fillId="0" borderId="3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shrinkToFit="1"/>
    </xf>
    <xf numFmtId="179" fontId="7" fillId="0" borderId="0" xfId="0" applyNumberFormat="1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179" fontId="6" fillId="0" borderId="31" xfId="0" applyNumberFormat="1" applyFont="1" applyBorder="1" applyAlignment="1">
      <alignment horizontal="left" vertical="center"/>
    </xf>
    <xf numFmtId="179" fontId="6" fillId="0" borderId="32" xfId="0" applyNumberFormat="1" applyFont="1" applyBorder="1" applyAlignment="1">
      <alignment horizontal="left" vertical="center"/>
    </xf>
    <xf numFmtId="179" fontId="6" fillId="0" borderId="33" xfId="0" applyNumberFormat="1" applyFont="1" applyBorder="1" applyAlignment="1">
      <alignment horizontal="left" vertical="center"/>
    </xf>
    <xf numFmtId="178" fontId="3" fillId="0" borderId="26" xfId="0" applyNumberFormat="1" applyFont="1" applyFill="1" applyBorder="1" applyAlignment="1">
      <alignment vertical="center"/>
    </xf>
    <xf numFmtId="178" fontId="4" fillId="2" borderId="35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36" xfId="0" applyFont="1" applyFill="1" applyBorder="1" applyAlignment="1" applyProtection="1">
      <alignment vertical="center"/>
    </xf>
    <xf numFmtId="0" fontId="3" fillId="0" borderId="28" xfId="0" applyFont="1" applyFill="1" applyBorder="1" applyAlignment="1" applyProtection="1">
      <alignment vertical="center"/>
    </xf>
    <xf numFmtId="0" fontId="4" fillId="0" borderId="27" xfId="0" applyFont="1" applyFill="1" applyBorder="1" applyAlignment="1" applyProtection="1">
      <alignment horizontal="right" vertical="center"/>
    </xf>
    <xf numFmtId="178" fontId="4" fillId="0" borderId="28" xfId="0" applyNumberFormat="1" applyFont="1" applyFill="1" applyBorder="1" applyAlignment="1" applyProtection="1">
      <alignment vertical="center"/>
    </xf>
    <xf numFmtId="0" fontId="4" fillId="0" borderId="28" xfId="0" applyNumberFormat="1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vertical="center"/>
    </xf>
    <xf numFmtId="176" fontId="4" fillId="0" borderId="32" xfId="0" applyNumberFormat="1" applyFont="1" applyFill="1" applyBorder="1" applyAlignment="1" applyProtection="1">
      <alignment vertical="center"/>
    </xf>
    <xf numFmtId="0" fontId="4" fillId="0" borderId="37" xfId="0" applyFont="1" applyFill="1" applyBorder="1" applyAlignment="1" applyProtection="1">
      <alignment vertical="center"/>
    </xf>
    <xf numFmtId="0" fontId="3" fillId="0" borderId="30" xfId="0" applyFont="1" applyFill="1" applyBorder="1" applyAlignment="1" applyProtection="1">
      <alignment vertical="center"/>
    </xf>
    <xf numFmtId="0" fontId="4" fillId="0" borderId="29" xfId="0" applyFont="1" applyFill="1" applyBorder="1" applyAlignment="1" applyProtection="1">
      <alignment horizontal="right" vertical="center"/>
    </xf>
    <xf numFmtId="0" fontId="4" fillId="0" borderId="35" xfId="0" applyFont="1" applyFill="1" applyBorder="1" applyAlignment="1" applyProtection="1">
      <alignment horizontal="right" vertical="center"/>
    </xf>
    <xf numFmtId="180" fontId="4" fillId="3" borderId="26" xfId="0" applyNumberFormat="1" applyFont="1" applyFill="1" applyBorder="1" applyAlignment="1" applyProtection="1">
      <alignment vertical="center"/>
    </xf>
    <xf numFmtId="0" fontId="4" fillId="0" borderId="26" xfId="0" applyFont="1" applyFill="1" applyBorder="1" applyAlignment="1" applyProtection="1"/>
    <xf numFmtId="0" fontId="4" fillId="0" borderId="31" xfId="0" applyFont="1" applyFill="1" applyBorder="1" applyAlignment="1" applyProtection="1">
      <alignment horizontal="left" vertical="center"/>
    </xf>
    <xf numFmtId="178" fontId="4" fillId="3" borderId="28" xfId="0" applyNumberFormat="1" applyFont="1" applyFill="1" applyBorder="1" applyAlignment="1" applyProtection="1">
      <alignment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4" fillId="0" borderId="32" xfId="0" applyFont="1" applyFill="1" applyBorder="1" applyAlignment="1" applyProtection="1">
      <alignment horizontal="left" vertical="center"/>
    </xf>
    <xf numFmtId="0" fontId="3" fillId="0" borderId="38" xfId="0" applyFont="1" applyBorder="1" applyAlignment="1">
      <alignment vertical="center"/>
    </xf>
    <xf numFmtId="0" fontId="4" fillId="0" borderId="1" xfId="0" applyFont="1" applyFill="1" applyBorder="1" applyAlignment="1" applyProtection="1">
      <alignment vertical="center"/>
    </xf>
    <xf numFmtId="181" fontId="4" fillId="0" borderId="1" xfId="0" applyNumberFormat="1" applyFont="1" applyFill="1" applyBorder="1" applyAlignment="1" applyProtection="1">
      <alignment vertical="center"/>
    </xf>
    <xf numFmtId="181" fontId="3" fillId="0" borderId="1" xfId="0" applyNumberFormat="1" applyFont="1" applyFill="1" applyBorder="1" applyAlignment="1" applyProtection="1">
      <alignment vertical="center"/>
    </xf>
    <xf numFmtId="178" fontId="3" fillId="0" borderId="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0" fontId="10" fillId="2" borderId="22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10" fillId="0" borderId="1" xfId="0" applyFont="1" applyFill="1" applyBorder="1" applyProtection="1"/>
    <xf numFmtId="0" fontId="10" fillId="2" borderId="28" xfId="0" applyFont="1" applyFill="1" applyBorder="1" applyProtection="1"/>
    <xf numFmtId="0" fontId="0" fillId="2" borderId="28" xfId="0" applyFill="1" applyBorder="1" applyProtection="1"/>
    <xf numFmtId="0" fontId="0" fillId="2" borderId="39" xfId="0" applyFill="1" applyBorder="1" applyProtection="1"/>
    <xf numFmtId="0" fontId="0" fillId="0" borderId="1" xfId="0" applyFill="1" applyBorder="1" applyAlignment="1" applyProtection="1">
      <alignment horizontal="center" vertical="center" wrapText="1" shrinkToFit="1"/>
    </xf>
    <xf numFmtId="178" fontId="0" fillId="2" borderId="1" xfId="0" applyNumberFormat="1" applyFill="1" applyBorder="1" applyProtection="1"/>
    <xf numFmtId="0" fontId="0" fillId="0" borderId="27" xfId="0" applyFill="1" applyBorder="1" applyAlignment="1" applyProtection="1">
      <alignment horizontal="centerContinuous" vertical="center"/>
    </xf>
    <xf numFmtId="0" fontId="0" fillId="0" borderId="39" xfId="0" applyFill="1" applyBorder="1" applyAlignment="1" applyProtection="1">
      <alignment horizontal="centerContinuous" vertical="center"/>
    </xf>
    <xf numFmtId="0" fontId="0" fillId="0" borderId="27" xfId="0" applyFill="1" applyBorder="1" applyAlignment="1" applyProtection="1">
      <alignment horizontal="right" vertical="center"/>
    </xf>
    <xf numFmtId="0" fontId="0" fillId="3" borderId="28" xfId="0" applyFill="1" applyBorder="1" applyProtection="1"/>
    <xf numFmtId="0" fontId="0" fillId="0" borderId="28" xfId="0" applyFill="1" applyBorder="1" applyAlignment="1" applyProtection="1">
      <alignment horizontal="center" vertical="center"/>
    </xf>
    <xf numFmtId="0" fontId="0" fillId="3" borderId="39" xfId="0" applyFill="1" applyBorder="1" applyProtection="1"/>
    <xf numFmtId="0" fontId="0" fillId="4" borderId="28" xfId="0" applyFill="1" applyBorder="1" applyProtection="1"/>
    <xf numFmtId="0" fontId="0" fillId="4" borderId="39" xfId="0" applyFill="1" applyBorder="1" applyProtection="1"/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shrinkToFit="1"/>
    </xf>
    <xf numFmtId="0" fontId="4" fillId="0" borderId="41" xfId="0" applyFont="1" applyFill="1" applyBorder="1" applyAlignment="1" applyProtection="1">
      <alignment horizontal="center" vertical="center" shrinkToFit="1"/>
    </xf>
    <xf numFmtId="0" fontId="4" fillId="0" borderId="42" xfId="0" applyFont="1" applyFill="1" applyBorder="1" applyAlignment="1" applyProtection="1">
      <alignment horizontal="center" vertical="center" shrinkToFit="1"/>
    </xf>
    <xf numFmtId="180" fontId="0" fillId="2" borderId="6" xfId="0" applyNumberFormat="1" applyFill="1" applyBorder="1" applyAlignment="1" applyProtection="1"/>
    <xf numFmtId="180" fontId="0" fillId="0" borderId="43" xfId="0" applyNumberFormat="1" applyFill="1" applyBorder="1" applyAlignment="1" applyProtection="1"/>
    <xf numFmtId="180" fontId="4" fillId="2" borderId="7" xfId="0" applyNumberFormat="1" applyFont="1" applyFill="1" applyBorder="1" applyAlignment="1" applyProtection="1">
      <alignment vertical="center"/>
    </xf>
    <xf numFmtId="178" fontId="0" fillId="5" borderId="1" xfId="0" applyNumberFormat="1" applyFill="1" applyBorder="1" applyAlignment="1" applyProtection="1">
      <alignment vertical="center"/>
    </xf>
    <xf numFmtId="179" fontId="0" fillId="6" borderId="1" xfId="0" applyNumberFormat="1" applyFill="1" applyBorder="1" applyProtection="1"/>
    <xf numFmtId="178" fontId="0" fillId="0" borderId="1" xfId="0" applyNumberFormat="1" applyFill="1" applyBorder="1" applyProtection="1"/>
    <xf numFmtId="184" fontId="0" fillId="0" borderId="0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Continuous" vertical="center"/>
    </xf>
    <xf numFmtId="0" fontId="14" fillId="3" borderId="39" xfId="0" applyFont="1" applyFill="1" applyBorder="1" applyAlignment="1" applyProtection="1">
      <alignment horizontal="centerContinuous" vertical="center"/>
    </xf>
    <xf numFmtId="0" fontId="14" fillId="5" borderId="27" xfId="0" applyFont="1" applyFill="1" applyBorder="1" applyAlignment="1" applyProtection="1">
      <alignment horizontal="centerContinuous" vertical="center"/>
    </xf>
    <xf numFmtId="0" fontId="14" fillId="5" borderId="39" xfId="0" applyFont="1" applyFill="1" applyBorder="1" applyAlignment="1" applyProtection="1">
      <alignment horizontal="centerContinuous" vertical="center"/>
    </xf>
    <xf numFmtId="0" fontId="14" fillId="0" borderId="34" xfId="0" applyFont="1" applyFill="1" applyBorder="1" applyAlignment="1" applyProtection="1">
      <alignment vertical="center"/>
    </xf>
    <xf numFmtId="0" fontId="14" fillId="0" borderId="29" xfId="0" applyFont="1" applyFill="1" applyBorder="1" applyAlignment="1" applyProtection="1">
      <alignment vertical="center"/>
    </xf>
    <xf numFmtId="0" fontId="14" fillId="0" borderId="30" xfId="0" applyFont="1" applyFill="1" applyBorder="1" applyAlignment="1" applyProtection="1">
      <alignment horizontal="center" vertical="center"/>
    </xf>
    <xf numFmtId="0" fontId="14" fillId="0" borderId="30" xfId="0" applyFont="1" applyFill="1" applyBorder="1" applyAlignment="1" applyProtection="1">
      <alignment horizontal="centerContinuous" vertical="center"/>
    </xf>
    <xf numFmtId="0" fontId="14" fillId="0" borderId="33" xfId="0" applyFont="1" applyFill="1" applyBorder="1" applyAlignment="1" applyProtection="1">
      <alignment horizontal="center" vertical="center"/>
    </xf>
    <xf numFmtId="0" fontId="14" fillId="0" borderId="26" xfId="0" applyFont="1" applyFill="1" applyBorder="1" applyAlignment="1" applyProtection="1">
      <alignment horizontal="center" vertical="center"/>
    </xf>
    <xf numFmtId="0" fontId="14" fillId="0" borderId="36" xfId="0" applyFont="1" applyFill="1" applyBorder="1" applyAlignment="1" applyProtection="1">
      <alignment vertical="center"/>
    </xf>
    <xf numFmtId="0" fontId="4" fillId="0" borderId="28" xfId="0" applyNumberFormat="1" applyFont="1" applyFill="1" applyBorder="1" applyAlignment="1" applyProtection="1">
      <alignment horizontal="centerContinuous" vertical="center"/>
    </xf>
    <xf numFmtId="0" fontId="13" fillId="0" borderId="28" xfId="0" applyNumberFormat="1" applyFont="1" applyFill="1" applyBorder="1" applyAlignment="1" applyProtection="1">
      <alignment horizontal="left" vertical="center"/>
    </xf>
    <xf numFmtId="0" fontId="11" fillId="0" borderId="28" xfId="0" applyNumberFormat="1" applyFont="1" applyFill="1" applyBorder="1" applyAlignment="1" applyProtection="1">
      <alignment horizontal="left" vertical="center"/>
    </xf>
    <xf numFmtId="177" fontId="14" fillId="0" borderId="32" xfId="0" applyNumberFormat="1" applyFont="1" applyFill="1" applyBorder="1" applyAlignment="1" applyProtection="1">
      <alignment vertical="center"/>
    </xf>
    <xf numFmtId="178" fontId="0" fillId="5" borderId="28" xfId="0" applyNumberFormat="1" applyFill="1" applyBorder="1" applyAlignment="1" applyProtection="1">
      <alignment vertical="center"/>
    </xf>
    <xf numFmtId="182" fontId="4" fillId="0" borderId="28" xfId="0" applyNumberFormat="1" applyFont="1" applyFill="1" applyBorder="1" applyAlignment="1" applyProtection="1">
      <alignment vertical="center"/>
    </xf>
    <xf numFmtId="177" fontId="4" fillId="0" borderId="32" xfId="0" applyNumberFormat="1" applyFont="1" applyFill="1" applyBorder="1" applyAlignment="1" applyProtection="1">
      <alignment vertical="center"/>
    </xf>
    <xf numFmtId="179" fontId="4" fillId="0" borderId="28" xfId="0" applyNumberFormat="1" applyFont="1" applyFill="1" applyBorder="1" applyAlignment="1" applyProtection="1">
      <alignment vertical="center"/>
    </xf>
    <xf numFmtId="0" fontId="15" fillId="0" borderId="28" xfId="0" applyNumberFormat="1" applyFont="1" applyFill="1" applyBorder="1" applyAlignment="1" applyProtection="1">
      <alignment horizontal="centerContinuous" vertical="center"/>
    </xf>
    <xf numFmtId="0" fontId="3" fillId="0" borderId="28" xfId="0" applyNumberFormat="1" applyFont="1" applyFill="1" applyBorder="1" applyAlignment="1" applyProtection="1">
      <alignment horizontal="centerContinuous" vertical="center"/>
    </xf>
    <xf numFmtId="177" fontId="3" fillId="0" borderId="32" xfId="0" applyNumberFormat="1" applyFont="1" applyFill="1" applyBorder="1" applyAlignment="1" applyProtection="1">
      <alignment vertical="center"/>
    </xf>
    <xf numFmtId="179" fontId="4" fillId="0" borderId="30" xfId="0" applyNumberFormat="1" applyFont="1" applyFill="1" applyBorder="1" applyAlignment="1" applyProtection="1">
      <alignment vertical="center"/>
    </xf>
    <xf numFmtId="0" fontId="15" fillId="0" borderId="30" xfId="0" applyNumberFormat="1" applyFont="1" applyFill="1" applyBorder="1" applyAlignment="1" applyProtection="1">
      <alignment horizontal="centerContinuous" vertical="center"/>
    </xf>
    <xf numFmtId="0" fontId="3" fillId="0" borderId="30" xfId="0" applyNumberFormat="1" applyFont="1" applyFill="1" applyBorder="1" applyAlignment="1" applyProtection="1">
      <alignment horizontal="centerContinuous" vertical="center"/>
    </xf>
    <xf numFmtId="177" fontId="3" fillId="0" borderId="33" xfId="0" applyNumberFormat="1" applyFont="1" applyFill="1" applyBorder="1" applyAlignment="1" applyProtection="1">
      <alignment vertical="center"/>
    </xf>
    <xf numFmtId="0" fontId="0" fillId="0" borderId="31" xfId="0" applyFont="1" applyFill="1" applyBorder="1" applyAlignment="1" applyProtection="1">
      <alignment vertical="center"/>
      <protection hidden="1"/>
    </xf>
    <xf numFmtId="0" fontId="0" fillId="0" borderId="32" xfId="0" applyFont="1" applyFill="1" applyBorder="1" applyAlignment="1" applyProtection="1">
      <alignment vertical="center"/>
      <protection hidden="1"/>
    </xf>
    <xf numFmtId="176" fontId="0" fillId="0" borderId="32" xfId="0" applyNumberFormat="1" applyFont="1" applyFill="1" applyBorder="1" applyAlignment="1" applyProtection="1">
      <alignment vertical="center"/>
      <protection hidden="1"/>
    </xf>
    <xf numFmtId="177" fontId="0" fillId="0" borderId="33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0" fillId="0" borderId="27" xfId="0" applyFont="1" applyFill="1" applyBorder="1" applyAlignment="1" applyProtection="1">
      <alignment horizontal="right" vertical="center"/>
      <protection hidden="1"/>
    </xf>
    <xf numFmtId="0" fontId="0" fillId="0" borderId="29" xfId="0" applyFont="1" applyFill="1" applyBorder="1" applyAlignment="1" applyProtection="1">
      <alignment horizontal="right" vertical="center"/>
      <protection hidden="1"/>
    </xf>
    <xf numFmtId="0" fontId="20" fillId="0" borderId="24" xfId="0" applyFont="1" applyFill="1" applyBorder="1" applyAlignment="1" applyProtection="1">
      <alignment horizontal="left" vertical="center"/>
      <protection hidden="1"/>
    </xf>
    <xf numFmtId="0" fontId="4" fillId="0" borderId="26" xfId="0" applyNumberFormat="1" applyFont="1" applyFill="1" applyBorder="1" applyAlignment="1" applyProtection="1">
      <alignment horizontal="center" vertical="center"/>
      <protection hidden="1"/>
    </xf>
    <xf numFmtId="178" fontId="4" fillId="0" borderId="28" xfId="0" applyNumberFormat="1" applyFont="1" applyFill="1" applyBorder="1" applyAlignment="1" applyProtection="1">
      <alignment vertical="center"/>
      <protection hidden="1"/>
    </xf>
    <xf numFmtId="0" fontId="4" fillId="0" borderId="28" xfId="0" applyNumberFormat="1" applyFont="1" applyFill="1" applyBorder="1" applyAlignment="1" applyProtection="1">
      <alignment horizontal="center" vertical="center"/>
      <protection hidden="1"/>
    </xf>
    <xf numFmtId="178" fontId="4" fillId="0" borderId="30" xfId="0" applyNumberFormat="1" applyFont="1" applyFill="1" applyBorder="1" applyAlignment="1" applyProtection="1">
      <alignment vertical="center"/>
      <protection hidden="1"/>
    </xf>
    <xf numFmtId="0" fontId="4" fillId="0" borderId="30" xfId="0" applyNumberFormat="1" applyFont="1" applyFill="1" applyBorder="1" applyAlignment="1" applyProtection="1">
      <alignment horizontal="centerContinuous" vertical="center"/>
      <protection hidden="1"/>
    </xf>
    <xf numFmtId="178" fontId="13" fillId="0" borderId="30" xfId="0" applyNumberFormat="1" applyFont="1" applyFill="1" applyBorder="1" applyAlignment="1" applyProtection="1">
      <alignment horizontal="left" vertical="center"/>
      <protection hidden="1"/>
    </xf>
    <xf numFmtId="0" fontId="11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181" fontId="21" fillId="0" borderId="0" xfId="0" applyNumberFormat="1" applyFont="1" applyFill="1" applyBorder="1" applyAlignment="1" applyProtection="1">
      <alignment vertical="center"/>
      <protection hidden="1"/>
    </xf>
    <xf numFmtId="181" fontId="22" fillId="0" borderId="0" xfId="0" applyNumberFormat="1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178" fontId="22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24" fillId="0" borderId="26" xfId="0" applyNumberFormat="1" applyFont="1" applyFill="1" applyBorder="1" applyAlignment="1" applyProtection="1">
      <alignment vertical="center"/>
      <protection hidden="1"/>
    </xf>
    <xf numFmtId="180" fontId="0" fillId="2" borderId="27" xfId="0" applyNumberFormat="1" applyFill="1" applyBorder="1" applyAlignment="1" applyProtection="1"/>
    <xf numFmtId="180" fontId="0" fillId="2" borderId="28" xfId="0" applyNumberFormat="1" applyFill="1" applyBorder="1" applyAlignment="1" applyProtection="1"/>
    <xf numFmtId="180" fontId="0" fillId="2" borderId="39" xfId="0" applyNumberFormat="1" applyFill="1" applyBorder="1" applyAlignment="1" applyProtection="1"/>
    <xf numFmtId="0" fontId="0" fillId="0" borderId="45" xfId="0" applyFill="1" applyBorder="1" applyAlignment="1" applyProtection="1">
      <alignment horizontal="center" vertical="center" wrapText="1"/>
    </xf>
    <xf numFmtId="0" fontId="0" fillId="0" borderId="46" xfId="0" applyBorder="1" applyAlignment="1" applyProtection="1">
      <alignment horizontal="center" vertical="center" wrapText="1"/>
    </xf>
    <xf numFmtId="183" fontId="0" fillId="2" borderId="27" xfId="0" applyNumberFormat="1" applyFill="1" applyBorder="1" applyAlignment="1" applyProtection="1">
      <alignment horizontal="center" vertical="center"/>
    </xf>
    <xf numFmtId="183" fontId="0" fillId="2" borderId="39" xfId="0" applyNumberFormat="1" applyFill="1" applyBorder="1" applyAlignment="1" applyProtection="1">
      <alignment horizontal="center" vertical="center"/>
    </xf>
    <xf numFmtId="0" fontId="18" fillId="0" borderId="47" xfId="0" applyFont="1" applyFill="1" applyBorder="1" applyAlignment="1" applyProtection="1">
      <alignment horizontal="center" vertical="center"/>
    </xf>
    <xf numFmtId="0" fontId="18" fillId="0" borderId="48" xfId="0" applyFont="1" applyFill="1" applyBorder="1" applyAlignment="1" applyProtection="1">
      <alignment horizontal="center" vertical="center"/>
    </xf>
    <xf numFmtId="0" fontId="18" fillId="0" borderId="49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22" xfId="0" applyBorder="1" applyAlignment="1" applyProtection="1">
      <alignment vertical="center" wrapText="1"/>
    </xf>
    <xf numFmtId="0" fontId="4" fillId="0" borderId="44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53" xfId="0" applyFont="1" applyFill="1" applyBorder="1" applyAlignment="1" applyProtection="1">
      <alignment horizontal="center" vertical="center"/>
    </xf>
    <xf numFmtId="0" fontId="4" fillId="0" borderId="24" xfId="0" applyFont="1" applyFill="1" applyBorder="1" applyProtection="1"/>
    <xf numFmtId="0" fontId="4" fillId="0" borderId="25" xfId="0" applyFont="1" applyFill="1" applyBorder="1" applyProtection="1"/>
    <xf numFmtId="0" fontId="14" fillId="0" borderId="34" xfId="0" applyFont="1" applyFill="1" applyBorder="1" applyAlignment="1" applyProtection="1">
      <alignment vertical="center"/>
    </xf>
    <xf numFmtId="0" fontId="14" fillId="0" borderId="54" xfId="0" applyFont="1" applyBorder="1" applyAlignment="1" applyProtection="1">
      <alignment vertical="center"/>
    </xf>
    <xf numFmtId="0" fontId="14" fillId="0" borderId="37" xfId="0" applyFont="1" applyFill="1" applyBorder="1" applyAlignment="1" applyProtection="1">
      <alignment vertical="center"/>
    </xf>
    <xf numFmtId="0" fontId="14" fillId="0" borderId="55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56" xfId="0" applyFont="1" applyFill="1" applyBorder="1" applyAlignment="1" applyProtection="1">
      <alignment vertical="center"/>
    </xf>
    <xf numFmtId="0" fontId="4" fillId="0" borderId="57" xfId="0" applyFont="1" applyFill="1" applyBorder="1" applyAlignment="1" applyProtection="1">
      <alignment vertical="center"/>
    </xf>
    <xf numFmtId="0" fontId="4" fillId="0" borderId="58" xfId="0" applyFont="1" applyFill="1" applyBorder="1" applyAlignment="1" applyProtection="1">
      <alignment vertical="center"/>
    </xf>
    <xf numFmtId="0" fontId="16" fillId="0" borderId="35" xfId="0" applyFont="1" applyFill="1" applyBorder="1" applyAlignment="1" applyProtection="1">
      <alignment vertical="center" wrapText="1"/>
    </xf>
    <xf numFmtId="0" fontId="16" fillId="0" borderId="26" xfId="0" applyFont="1" applyBorder="1" applyAlignment="1" applyProtection="1">
      <alignment vertical="center" wrapText="1"/>
    </xf>
    <xf numFmtId="0" fontId="16" fillId="0" borderId="31" xfId="0" applyFont="1" applyBorder="1" applyAlignment="1" applyProtection="1">
      <alignment vertical="center" wrapText="1"/>
    </xf>
    <xf numFmtId="0" fontId="0" fillId="0" borderId="36" xfId="0" applyFont="1" applyFill="1" applyBorder="1" applyAlignment="1" applyProtection="1">
      <alignment horizontal="left" vertical="center" indent="1"/>
      <protection hidden="1"/>
    </xf>
    <xf numFmtId="0" fontId="0" fillId="0" borderId="39" xfId="0" applyFont="1" applyFill="1" applyBorder="1" applyAlignment="1" applyProtection="1">
      <alignment horizontal="left" vertical="center" indent="1"/>
      <protection hidden="1"/>
    </xf>
    <xf numFmtId="0" fontId="0" fillId="0" borderId="37" xfId="0" applyFont="1" applyFill="1" applyBorder="1" applyAlignment="1" applyProtection="1">
      <alignment horizontal="left" vertical="center" indent="1"/>
      <protection hidden="1"/>
    </xf>
    <xf numFmtId="0" fontId="0" fillId="0" borderId="55" xfId="0" applyFont="1" applyFill="1" applyBorder="1" applyAlignment="1" applyProtection="1">
      <alignment horizontal="left" vertical="center" indent="1"/>
      <protection hidden="1"/>
    </xf>
    <xf numFmtId="0" fontId="23" fillId="7" borderId="0" xfId="0" applyFont="1" applyFill="1" applyBorder="1" applyAlignment="1" applyProtection="1">
      <alignment horizontal="center" vertical="center"/>
      <protection hidden="1"/>
    </xf>
    <xf numFmtId="0" fontId="23" fillId="7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0" fillId="0" borderId="34" xfId="0" applyFont="1" applyFill="1" applyBorder="1" applyAlignment="1" applyProtection="1">
      <alignment horizontal="left" vertical="center" wrapText="1" indent="1"/>
      <protection hidden="1"/>
    </xf>
    <xf numFmtId="0" fontId="4" fillId="0" borderId="54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実測値（Ｗ-ａ）</a:t>
            </a:r>
          </a:p>
        </c:rich>
      </c:tx>
      <c:layout>
        <c:manualLayout>
          <c:xMode val="edge"/>
          <c:yMode val="edge"/>
          <c:x val="0.37353002933456847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17674514123556"/>
          <c:y val="0.11246200607902736"/>
          <c:w val="0.71176572806429239"/>
          <c:h val="0.72340425531914898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57353023542370662"/>
                  <c:y val="1.5197568389057751E-2"/>
                </c:manualLayout>
              </c:layout>
              <c:numFmt formatCode="General" sourceLinked="0"/>
              <c:spPr>
                <a:solidFill>
                  <a:srgbClr val="CC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246</c:v>
                </c:pt>
                <c:pt idx="1">
                  <c:v>496</c:v>
                </c:pt>
                <c:pt idx="2">
                  <c:v>746</c:v>
                </c:pt>
              </c:numCache>
            </c:numRef>
          </c:xVal>
          <c:yVal>
            <c:numRef>
              <c:f>測定データ!$D$15:$D$17</c:f>
              <c:numCache>
                <c:formatCode>0.0_ </c:formatCode>
                <c:ptCount val="3"/>
                <c:pt idx="0">
                  <c:v>20.399999999999999</c:v>
                </c:pt>
                <c:pt idx="1">
                  <c:v>52.5</c:v>
                </c:pt>
                <c:pt idx="2">
                  <c:v>95.1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350-4AAB-940C-1A55792493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154352"/>
        <c:axId val="237156312"/>
      </c:scatterChart>
      <c:valAx>
        <c:axId val="2371543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5000092635479381"/>
              <c:y val="0.92401215805471126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156312"/>
        <c:crosses val="autoZero"/>
        <c:crossBetween val="midCat"/>
      </c:valAx>
      <c:valAx>
        <c:axId val="237156312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ａ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1.4705882352941176E-2"/>
              <c:y val="0.45896656534954405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154352"/>
        <c:crosses val="autoZero"/>
        <c:crossBetween val="midCat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5.2941176470588235E-2"/>
          <c:y val="7.9027355623100301E-2"/>
          <c:w val="0.36176501466728422"/>
          <c:h val="0.2522796352583586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実測値（Ｗ-ｎ）</a:t>
            </a:r>
          </a:p>
        </c:rich>
      </c:tx>
      <c:layout>
        <c:manualLayout>
          <c:xMode val="edge"/>
          <c:yMode val="edge"/>
          <c:x val="0.38211495920733485"/>
          <c:y val="3.353658536585366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83250188564397"/>
          <c:y val="0.14329289624156857"/>
          <c:w val="0.74525942491167252"/>
          <c:h val="0.7256108362870918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0704767701896234"/>
                  <c:y val="1.5243925132081764E-2"/>
                </c:manualLayout>
              </c:layout>
              <c:numFmt formatCode="General" sourceLinked="0"/>
              <c:spPr>
                <a:solidFill>
                  <a:srgbClr val="CCFFCC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246</c:v>
                </c:pt>
                <c:pt idx="1">
                  <c:v>496</c:v>
                </c:pt>
                <c:pt idx="2">
                  <c:v>746</c:v>
                </c:pt>
              </c:numCache>
            </c:numRef>
          </c:xVal>
          <c:yVal>
            <c:numRef>
              <c:f>測定データ!$E$15:$E$17</c:f>
              <c:numCache>
                <c:formatCode>0.0_ </c:formatCode>
                <c:ptCount val="3"/>
                <c:pt idx="0">
                  <c:v>1.7</c:v>
                </c:pt>
                <c:pt idx="1">
                  <c:v>1.9</c:v>
                </c:pt>
                <c:pt idx="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2F-412B-AC57-F3AAFC530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157096"/>
        <c:axId val="237154744"/>
      </c:scatterChart>
      <c:valAx>
        <c:axId val="2371570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7452716784385693"/>
              <c:y val="0.93292810959605654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154744"/>
        <c:crosses val="autoZero"/>
        <c:crossBetween val="midCat"/>
      </c:valAx>
      <c:valAx>
        <c:axId val="237154744"/>
        <c:scaling>
          <c:orientation val="minMax"/>
          <c:max val="2"/>
          <c:min val="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ｎ</a:t>
                </a:r>
              </a:p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endParaRPr lang="ja-JP" altLang="en-US" sz="8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endParaRPr>
              </a:p>
            </c:rich>
          </c:tx>
          <c:layout>
            <c:manualLayout>
              <c:xMode val="edge"/>
              <c:yMode val="edge"/>
              <c:x val="5.4200826522700925E-2"/>
              <c:y val="0.49695185967607702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1570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28455369908029793"/>
          <c:y val="9.1463414634146339E-2"/>
          <c:w val="0.56910739816059586"/>
          <c:h val="0.265244222520965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3.0760783127320375</c:v>
                </c:pt>
                <c:pt idx="2">
                  <c:v>5.8702547605987929</c:v>
                </c:pt>
                <c:pt idx="3">
                  <c:v>7.9278644113668273</c:v>
                </c:pt>
                <c:pt idx="4">
                  <c:v>11.918804106917504</c:v>
                </c:pt>
                <c:pt idx="5">
                  <c:v>22.745330071631304</c:v>
                </c:pt>
                <c:pt idx="6">
                  <c:v>30.717898993072634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1C9-439C-9291-CD6A58F299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157488"/>
        <c:axId val="237155528"/>
      </c:scatterChart>
      <c:valAx>
        <c:axId val="237157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3012422360248448"/>
              <c:y val="0.9354215654550029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155528"/>
        <c:crosses val="autoZero"/>
        <c:crossBetween val="midCat"/>
      </c:valAx>
      <c:valAx>
        <c:axId val="2371555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5929293084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157488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08774244770845"/>
          <c:y val="5.2633311255501233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'PQ-SV013 SV601LG'!$B$29:$H$29</c:f>
              <c:numCache>
                <c:formatCode>0.0_ </c:formatCode>
                <c:ptCount val="7"/>
                <c:pt idx="0">
                  <c:v>0</c:v>
                </c:pt>
                <c:pt idx="1">
                  <c:v>3.0637136062762451</c:v>
                </c:pt>
                <c:pt idx="2">
                  <c:v>5.8580045626917814</c:v>
                </c:pt>
                <c:pt idx="3">
                  <c:v>7.9184552713681482</c:v>
                </c:pt>
                <c:pt idx="4">
                  <c:v>11.919229041746924</c:v>
                </c:pt>
                <c:pt idx="5">
                  <c:v>22.790282344695814</c:v>
                </c:pt>
                <c:pt idx="6">
                  <c:v>30.806365791801461</c:v>
                </c:pt>
              </c:numCache>
            </c:numRef>
          </c:xVal>
          <c:yVal>
            <c:numRef>
              <c:f>'PQ-SV013 SV601LG'!$B$28:$H$28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2AA-47CD-ABC6-DD5A016429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841568"/>
        <c:axId val="312839608"/>
      </c:scatterChart>
      <c:valAx>
        <c:axId val="3128415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通気量Ｑ (m3/hr)</a:t>
                </a:r>
              </a:p>
            </c:rich>
          </c:tx>
          <c:layout>
            <c:manualLayout>
              <c:xMode val="edge"/>
              <c:yMode val="edge"/>
              <c:x val="0.4168071685103289"/>
              <c:y val="0.90861721232214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839608"/>
        <c:crosses val="autoZero"/>
        <c:crossBetween val="midCat"/>
      </c:valAx>
      <c:valAx>
        <c:axId val="31283960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Yu Gothic"/>
                    <a:ea typeface="Yu Gothic"/>
                    <a:cs typeface="Yu Gothic"/>
                  </a:defRPr>
                </a:pPr>
                <a:r>
                  <a:rPr lang="ja-JP" altLang="en-US"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圧力差⊿Ｐ (Pa)</a:t>
                </a:r>
              </a:p>
            </c:rich>
          </c:tx>
          <c:layout>
            <c:manualLayout>
              <c:xMode val="edge"/>
              <c:yMode val="edge"/>
              <c:x val="1.6794341385292941E-2"/>
              <c:y val="0.238948336586131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312841568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ti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28575</xdr:rowOff>
    </xdr:from>
    <xdr:to>
      <xdr:col>5</xdr:col>
      <xdr:colOff>333375</xdr:colOff>
      <xdr:row>50</xdr:row>
      <xdr:rowOff>76200</xdr:rowOff>
    </xdr:to>
    <xdr:graphicFrame macro="">
      <xdr:nvGraphicFramePr>
        <xdr:cNvPr id="5126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32</xdr:row>
      <xdr:rowOff>28575</xdr:rowOff>
    </xdr:from>
    <xdr:to>
      <xdr:col>12</xdr:col>
      <xdr:colOff>123825</xdr:colOff>
      <xdr:row>50</xdr:row>
      <xdr:rowOff>66675</xdr:rowOff>
    </xdr:to>
    <xdr:graphicFrame macro="">
      <xdr:nvGraphicFramePr>
        <xdr:cNvPr id="5127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0</xdr:row>
      <xdr:rowOff>257175</xdr:rowOff>
    </xdr:from>
    <xdr:to>
      <xdr:col>11</xdr:col>
      <xdr:colOff>285750</xdr:colOff>
      <xdr:row>2</xdr:row>
      <xdr:rowOff>28575</xdr:rowOff>
    </xdr:to>
    <xdr:pic>
      <xdr:nvPicPr>
        <xdr:cNvPr id="34818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257175"/>
          <a:ext cx="14573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1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2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200025</xdr:rowOff>
    </xdr:from>
    <xdr:to>
      <xdr:col>7</xdr:col>
      <xdr:colOff>228600</xdr:colOff>
      <xdr:row>15</xdr:row>
      <xdr:rowOff>3638550</xdr:rowOff>
    </xdr:to>
    <xdr:graphicFrame macro="">
      <xdr:nvGraphicFramePr>
        <xdr:cNvPr id="3584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177801</xdr:rowOff>
    </xdr:from>
    <xdr:to>
      <xdr:col>7</xdr:col>
      <xdr:colOff>589982</xdr:colOff>
      <xdr:row>13</xdr:row>
      <xdr:rowOff>170511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4934"/>
          <a:ext cx="5881649" cy="4158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topLeftCell="A5" workbookViewId="0">
      <selection sqref="A1:IV65536"/>
    </sheetView>
  </sheetViews>
  <sheetFormatPr defaultColWidth="9" defaultRowHeight="13.5" x14ac:dyDescent="0.15"/>
  <cols>
    <col min="1" max="6" width="7.625" style="89" customWidth="1"/>
    <col min="7" max="7" width="4.125" style="89" customWidth="1"/>
    <col min="8" max="8" width="12.75" style="89" bestFit="1" customWidth="1"/>
    <col min="9" max="9" width="4.25" style="89" bestFit="1" customWidth="1"/>
    <col min="10" max="10" width="10.5" style="89" bestFit="1" customWidth="1"/>
    <col min="11" max="11" width="2.625" style="89" customWidth="1"/>
    <col min="12" max="12" width="7.625" style="89" customWidth="1"/>
    <col min="13" max="16384" width="9" style="89"/>
  </cols>
  <sheetData>
    <row r="1" spans="1:12" x14ac:dyDescent="0.15">
      <c r="A1" s="89" t="s">
        <v>33</v>
      </c>
      <c r="B1" s="89" t="s">
        <v>46</v>
      </c>
      <c r="J1" s="186" t="s">
        <v>37</v>
      </c>
      <c r="K1" s="187"/>
      <c r="L1" s="188"/>
    </row>
    <row r="2" spans="1:12" x14ac:dyDescent="0.15">
      <c r="B2" s="89" t="s">
        <v>43</v>
      </c>
    </row>
    <row r="3" spans="1:12" x14ac:dyDescent="0.15">
      <c r="B3" s="89" t="s">
        <v>42</v>
      </c>
    </row>
    <row r="4" spans="1:12" x14ac:dyDescent="0.15">
      <c r="B4" s="89" t="s">
        <v>34</v>
      </c>
    </row>
    <row r="6" spans="1:12" ht="21" x14ac:dyDescent="0.2">
      <c r="A6" s="90" t="s">
        <v>44</v>
      </c>
      <c r="B6" s="91"/>
    </row>
    <row r="7" spans="1:12" ht="13.5" customHeight="1" x14ac:dyDescent="0.15">
      <c r="A7" s="92" t="s">
        <v>45</v>
      </c>
      <c r="B7" s="93" t="s">
        <v>92</v>
      </c>
      <c r="C7" s="94"/>
      <c r="D7" s="94"/>
      <c r="E7" s="94"/>
      <c r="F7" s="94"/>
      <c r="G7" s="95"/>
    </row>
    <row r="8" spans="1:12" x14ac:dyDescent="0.15">
      <c r="A8" s="96" t="s">
        <v>35</v>
      </c>
      <c r="B8" s="97" t="s">
        <v>93</v>
      </c>
      <c r="C8" s="98"/>
      <c r="D8" s="98"/>
      <c r="E8" s="98"/>
      <c r="F8" s="99"/>
    </row>
    <row r="9" spans="1:12" x14ac:dyDescent="0.15">
      <c r="A9" s="96" t="s">
        <v>47</v>
      </c>
      <c r="B9" s="97" t="s">
        <v>81</v>
      </c>
      <c r="C9" s="98"/>
      <c r="D9" s="98"/>
      <c r="E9" s="98"/>
      <c r="F9" s="99"/>
    </row>
    <row r="10" spans="1:12" x14ac:dyDescent="0.15">
      <c r="A10" s="96" t="s">
        <v>74</v>
      </c>
      <c r="B10" s="97" t="s">
        <v>83</v>
      </c>
      <c r="C10" s="98"/>
      <c r="D10" s="98"/>
      <c r="E10" s="98"/>
      <c r="F10" s="99"/>
    </row>
    <row r="11" spans="1:12" x14ac:dyDescent="0.15">
      <c r="A11" s="96" t="s">
        <v>82</v>
      </c>
      <c r="B11" s="97" t="s">
        <v>84</v>
      </c>
      <c r="C11" s="98"/>
      <c r="D11" s="98"/>
      <c r="E11" s="98"/>
      <c r="F11" s="99"/>
    </row>
    <row r="13" spans="1:12" ht="21" x14ac:dyDescent="0.2">
      <c r="A13" s="90" t="s">
        <v>32</v>
      </c>
      <c r="B13" s="91"/>
      <c r="C13" s="91"/>
    </row>
    <row r="14" spans="1:12" ht="27" x14ac:dyDescent="0.15">
      <c r="A14" s="194" t="s">
        <v>27</v>
      </c>
      <c r="B14" s="194"/>
      <c r="C14" s="194"/>
      <c r="D14" s="100" t="s">
        <v>15</v>
      </c>
      <c r="E14" s="100" t="s">
        <v>16</v>
      </c>
      <c r="H14" s="100" t="s">
        <v>38</v>
      </c>
      <c r="I14" s="184">
        <v>20</v>
      </c>
      <c r="J14" s="185"/>
    </row>
    <row r="15" spans="1:12" x14ac:dyDescent="0.15">
      <c r="A15" s="179">
        <v>246</v>
      </c>
      <c r="B15" s="180"/>
      <c r="C15" s="181"/>
      <c r="D15" s="101">
        <v>20.399999999999999</v>
      </c>
      <c r="E15" s="101">
        <v>1.7</v>
      </c>
    </row>
    <row r="16" spans="1:12" x14ac:dyDescent="0.15">
      <c r="A16" s="179">
        <v>496</v>
      </c>
      <c r="B16" s="180"/>
      <c r="C16" s="181"/>
      <c r="D16" s="101">
        <v>52.5</v>
      </c>
      <c r="E16" s="101">
        <v>1.9</v>
      </c>
    </row>
    <row r="17" spans="1:15" x14ac:dyDescent="0.15">
      <c r="A17" s="179">
        <v>746</v>
      </c>
      <c r="B17" s="180"/>
      <c r="C17" s="181"/>
      <c r="D17" s="101">
        <v>95.1</v>
      </c>
      <c r="E17" s="101">
        <v>2</v>
      </c>
    </row>
    <row r="19" spans="1:15" ht="21" x14ac:dyDescent="0.2">
      <c r="A19" s="90" t="s">
        <v>17</v>
      </c>
      <c r="B19" s="91"/>
      <c r="C19" s="91"/>
      <c r="E19" s="89" t="s">
        <v>41</v>
      </c>
    </row>
    <row r="20" spans="1:15" ht="20.100000000000001" customHeight="1" x14ac:dyDescent="0.2">
      <c r="A20" s="90"/>
      <c r="B20" s="91"/>
      <c r="C20" s="91"/>
      <c r="E20" s="102" t="s">
        <v>39</v>
      </c>
      <c r="F20" s="103"/>
      <c r="G20" s="104" t="s">
        <v>78</v>
      </c>
      <c r="H20" s="105">
        <v>0.14940000000000001</v>
      </c>
      <c r="I20" s="106" t="s">
        <v>79</v>
      </c>
      <c r="J20" s="107">
        <v>-18.102</v>
      </c>
    </row>
    <row r="21" spans="1:15" ht="20.100000000000001" customHeight="1" x14ac:dyDescent="0.2">
      <c r="A21" s="90"/>
      <c r="B21" s="91"/>
      <c r="C21" s="91"/>
      <c r="E21" s="102" t="s">
        <v>40</v>
      </c>
      <c r="F21" s="103"/>
      <c r="G21" s="104" t="s">
        <v>78</v>
      </c>
      <c r="H21" s="108">
        <v>5.9999999999999995E-4</v>
      </c>
      <c r="I21" s="106" t="s">
        <v>79</v>
      </c>
      <c r="J21" s="109">
        <v>1.5690999999999999</v>
      </c>
    </row>
    <row r="22" spans="1:15" ht="20.100000000000001" customHeight="1" x14ac:dyDescent="0.2">
      <c r="A22" s="90"/>
      <c r="B22" s="91"/>
      <c r="C22" s="91"/>
      <c r="E22" s="110" t="s">
        <v>29</v>
      </c>
    </row>
    <row r="23" spans="1:15" x14ac:dyDescent="0.15">
      <c r="A23" s="193" t="s">
        <v>27</v>
      </c>
      <c r="B23" s="193"/>
      <c r="C23" s="193"/>
      <c r="D23" s="182" t="s">
        <v>15</v>
      </c>
      <c r="E23" s="182" t="s">
        <v>16</v>
      </c>
      <c r="F23" s="182" t="s">
        <v>26</v>
      </c>
      <c r="G23" s="111"/>
      <c r="H23" s="189" t="s">
        <v>77</v>
      </c>
      <c r="I23" s="190" t="s">
        <v>76</v>
      </c>
      <c r="J23" s="191"/>
      <c r="K23" s="191"/>
      <c r="L23" s="191"/>
    </row>
    <row r="24" spans="1:15" x14ac:dyDescent="0.15">
      <c r="A24" s="112" t="s">
        <v>30</v>
      </c>
      <c r="B24" s="113" t="s">
        <v>31</v>
      </c>
      <c r="C24" s="114" t="s">
        <v>28</v>
      </c>
      <c r="D24" s="183"/>
      <c r="E24" s="183"/>
      <c r="F24" s="183"/>
      <c r="G24" s="111"/>
      <c r="H24" s="189"/>
      <c r="I24" s="192"/>
      <c r="J24" s="191"/>
      <c r="K24" s="191"/>
      <c r="L24" s="191"/>
    </row>
    <row r="25" spans="1:15" x14ac:dyDescent="0.15">
      <c r="A25" s="115">
        <v>200</v>
      </c>
      <c r="B25" s="116">
        <f>ROUND((C25-A25)/2+A25,0)</f>
        <v>252</v>
      </c>
      <c r="C25" s="117">
        <f>A26-0.5</f>
        <v>304</v>
      </c>
      <c r="D25" s="118">
        <f>ROUND($H$20*B25+$J$20,1)</f>
        <v>19.5</v>
      </c>
      <c r="E25" s="118">
        <f>IF(ROUND($H$21*B25+$J$21,1)&lt;1,1,(IF(ROUND($H$21*B25+$J$21,1)&gt;2,2,(ROUND($H$21*B25+$J$21,1)))))</f>
        <v>1.7</v>
      </c>
      <c r="F25" s="119">
        <v>34.03</v>
      </c>
      <c r="H25" s="120">
        <f>ROUND((((D25*2)/2.7)/3.3)*2,1)</f>
        <v>8.8000000000000007</v>
      </c>
      <c r="M25" s="121"/>
      <c r="N25" s="121"/>
      <c r="O25" s="121"/>
    </row>
    <row r="26" spans="1:15" x14ac:dyDescent="0.15">
      <c r="A26" s="115">
        <v>304.5</v>
      </c>
      <c r="B26" s="116">
        <f>ROUND((C26-A26)/2+A26,0)</f>
        <v>372</v>
      </c>
      <c r="C26" s="117">
        <f>A27-0.5</f>
        <v>440</v>
      </c>
      <c r="D26" s="118">
        <f>ROUND($H$20*B26+$J$20,1)</f>
        <v>37.5</v>
      </c>
      <c r="E26" s="118">
        <f>IF(ROUND($H$21*B26+$J$21,1)&lt;1,1,(IF(ROUND($H$21*B26+$J$21,1)&gt;2,2,(ROUND($H$21*B26+$J$21,1)))))</f>
        <v>1.8</v>
      </c>
      <c r="F26" s="119">
        <v>51.05</v>
      </c>
      <c r="H26" s="120">
        <f>ROUND((((D26*2)/2.7)/3.3)*2,1)</f>
        <v>16.8</v>
      </c>
      <c r="M26" s="121"/>
      <c r="N26" s="121"/>
      <c r="O26" s="121"/>
    </row>
    <row r="27" spans="1:15" x14ac:dyDescent="0.15">
      <c r="A27" s="115">
        <v>440.5</v>
      </c>
      <c r="B27" s="116">
        <f>ROUND((C27-A27)/2+A27,0)</f>
        <v>515</v>
      </c>
      <c r="C27" s="117">
        <f>A28-0.5</f>
        <v>590</v>
      </c>
      <c r="D27" s="118">
        <f>ROUND($H$20*B27+$J$20,1)</f>
        <v>58.8</v>
      </c>
      <c r="E27" s="118">
        <f>IF(ROUND($H$21*B27+$J$21,1)&lt;1,1,(IF(ROUND($H$21*B27+$J$21,1)&gt;2,2,(ROUND($H$21*B27+$J$21,1)))))</f>
        <v>1.9</v>
      </c>
      <c r="F27" s="119">
        <v>85.08</v>
      </c>
      <c r="H27" s="120">
        <f>ROUND((((D27*2)/2.7)/3.3)*2,1)</f>
        <v>26.4</v>
      </c>
      <c r="M27" s="121"/>
      <c r="N27" s="121"/>
      <c r="O27" s="121"/>
    </row>
    <row r="28" spans="1:15" x14ac:dyDescent="0.15">
      <c r="A28" s="115">
        <v>590.5</v>
      </c>
      <c r="B28" s="116">
        <f>ROUND((C28-A28)/2+A28,0)</f>
        <v>665</v>
      </c>
      <c r="C28" s="117">
        <f>A29-0.5</f>
        <v>740</v>
      </c>
      <c r="D28" s="118">
        <f>ROUND($H$20*B28+$J$20,1)</f>
        <v>81.2</v>
      </c>
      <c r="E28" s="118">
        <f>IF(ROUND($H$21*B28+$J$21,1)&lt;1,1,(IF(ROUND($H$21*B28+$J$21,1)&gt;2,2,(ROUND($H$21*B28+$J$21,1)))))</f>
        <v>2</v>
      </c>
      <c r="F28" s="119">
        <v>119.1</v>
      </c>
      <c r="H28" s="120">
        <f>ROUND((((D28*2)/2.7)/3.3)*2,1)</f>
        <v>36.5</v>
      </c>
      <c r="M28" s="121"/>
      <c r="N28" s="121"/>
      <c r="O28" s="121"/>
    </row>
    <row r="29" spans="1:15" x14ac:dyDescent="0.15">
      <c r="A29" s="115">
        <v>740.5</v>
      </c>
      <c r="B29" s="116">
        <f>ROUND((C29-A29)/2+A29,0)</f>
        <v>815</v>
      </c>
      <c r="C29" s="117">
        <v>890</v>
      </c>
      <c r="D29" s="118">
        <f>ROUND($H$20*B29+$J$20,1)</f>
        <v>103.7</v>
      </c>
      <c r="E29" s="118">
        <f>IF(ROUND($H$21*B29+$J$21,1)&lt;1,1,(IF(ROUND($H$21*B29+$J$21,1)&gt;2,2,(ROUND($H$21*B29+$J$21,1)))))</f>
        <v>2</v>
      </c>
      <c r="F29" s="119">
        <v>153.13999999999999</v>
      </c>
      <c r="H29" s="120">
        <f>ROUND((((D29*2)/2.7)/3.3)*2,1)</f>
        <v>46.6</v>
      </c>
      <c r="M29" s="121"/>
      <c r="N29" s="121"/>
      <c r="O29" s="121"/>
    </row>
  </sheetData>
  <mergeCells count="12">
    <mergeCell ref="A16:C16"/>
    <mergeCell ref="A17:C17"/>
    <mergeCell ref="F23:F24"/>
    <mergeCell ref="I14:J14"/>
    <mergeCell ref="J1:L1"/>
    <mergeCell ref="H23:H24"/>
    <mergeCell ref="I23:L24"/>
    <mergeCell ref="A23:C23"/>
    <mergeCell ref="A14:C14"/>
    <mergeCell ref="D23:D24"/>
    <mergeCell ref="E23:E24"/>
    <mergeCell ref="A15:C15"/>
  </mergeCells>
  <phoneticPr fontId="1"/>
  <pageMargins left="0.75" right="0.75" top="1" bottom="1" header="0.51200000000000001" footer="0.51200000000000001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="75" workbookViewId="0">
      <selection sqref="A1:IV65536"/>
    </sheetView>
  </sheetViews>
  <sheetFormatPr defaultColWidth="9" defaultRowHeight="13.5" x14ac:dyDescent="0.15"/>
  <cols>
    <col min="1" max="1" width="3.625" style="33" customWidth="1"/>
    <col min="2" max="9" width="8.125" style="33" customWidth="1"/>
    <col min="10" max="10" width="6.625" style="33" customWidth="1"/>
    <col min="11" max="11" width="11.625" style="33" customWidth="1"/>
    <col min="12" max="12" width="5.625" style="33" customWidth="1"/>
    <col min="13" max="13" width="4.625" style="33" customWidth="1"/>
    <col min="14" max="16384" width="9" style="33"/>
  </cols>
  <sheetData>
    <row r="1" spans="1:12" ht="21.95" customHeight="1" x14ac:dyDescent="0.15">
      <c r="A1" s="32" t="s">
        <v>18</v>
      </c>
      <c r="B1" s="32"/>
      <c r="C1" s="32"/>
      <c r="F1" s="186" t="s">
        <v>37</v>
      </c>
      <c r="G1" s="187"/>
      <c r="H1" s="188"/>
      <c r="J1" s="36" t="str">
        <f>測定データ!B10</f>
        <v>２００４，　５，１４</v>
      </c>
      <c r="K1" s="34"/>
      <c r="L1" s="34"/>
    </row>
    <row r="2" spans="1:12" s="35" customFormat="1" ht="21.95" customHeight="1" x14ac:dyDescent="0.15"/>
    <row r="3" spans="1:12" s="35" customFormat="1" ht="21.95" customHeight="1" x14ac:dyDescent="0.15">
      <c r="A3" s="35" t="s">
        <v>19</v>
      </c>
      <c r="C3" s="198" t="str">
        <f>測定データ!B7</f>
        <v>ルーバーブレス</v>
      </c>
      <c r="D3" s="198"/>
      <c r="E3" s="198"/>
      <c r="F3" s="198"/>
      <c r="G3" s="198"/>
      <c r="H3" s="198"/>
      <c r="I3" s="198"/>
      <c r="J3" s="36" t="s">
        <v>36</v>
      </c>
      <c r="K3" s="36"/>
      <c r="L3" s="36"/>
    </row>
    <row r="4" spans="1:12" s="35" customFormat="1" ht="21.95" customHeight="1" x14ac:dyDescent="0.15">
      <c r="A4" s="35" t="s">
        <v>35</v>
      </c>
      <c r="C4" s="199" t="str">
        <f>測定データ!B8</f>
        <v>ＳＶ６０１Ｌ</v>
      </c>
      <c r="D4" s="199"/>
      <c r="E4" s="199"/>
      <c r="F4" s="199"/>
      <c r="G4" s="199"/>
      <c r="H4" s="199"/>
      <c r="I4" s="199"/>
      <c r="J4" s="36" t="str">
        <f>測定データ!B9</f>
        <v>小野寺</v>
      </c>
      <c r="K4" s="36"/>
      <c r="L4" s="36"/>
    </row>
    <row r="5" spans="1:12" s="35" customFormat="1" ht="21.95" customHeight="1" x14ac:dyDescent="0.15">
      <c r="C5" s="199"/>
      <c r="D5" s="199"/>
      <c r="E5" s="199"/>
      <c r="F5" s="199"/>
      <c r="G5" s="199"/>
      <c r="H5" s="199"/>
      <c r="I5" s="199"/>
    </row>
    <row r="6" spans="1:12" s="35" customFormat="1" ht="21.95" customHeight="1" thickBot="1" x14ac:dyDescent="0.2"/>
    <row r="7" spans="1:12" s="35" customFormat="1" ht="30" customHeight="1" x14ac:dyDescent="0.15">
      <c r="A7" s="195" t="s">
        <v>48</v>
      </c>
      <c r="B7" s="15" t="s">
        <v>62</v>
      </c>
      <c r="C7" s="16"/>
      <c r="D7" s="17" t="s">
        <v>4</v>
      </c>
      <c r="E7" s="18" t="s">
        <v>20</v>
      </c>
      <c r="F7" s="18" t="s">
        <v>21</v>
      </c>
      <c r="G7" s="18" t="s">
        <v>22</v>
      </c>
      <c r="H7" s="19" t="s">
        <v>7</v>
      </c>
      <c r="I7" s="19" t="s">
        <v>10</v>
      </c>
      <c r="J7" s="37" t="s">
        <v>0</v>
      </c>
      <c r="K7" s="38"/>
      <c r="L7" s="39"/>
    </row>
    <row r="8" spans="1:12" s="35" customFormat="1" ht="21.95" customHeight="1" x14ac:dyDescent="0.15">
      <c r="A8" s="196"/>
      <c r="B8" s="20" t="s">
        <v>49</v>
      </c>
      <c r="C8" s="20"/>
      <c r="D8" s="40" t="s">
        <v>50</v>
      </c>
      <c r="E8" s="21" t="s">
        <v>51</v>
      </c>
      <c r="F8" s="21" t="s">
        <v>52</v>
      </c>
      <c r="G8" s="21" t="s">
        <v>53</v>
      </c>
      <c r="H8" s="21" t="s">
        <v>54</v>
      </c>
      <c r="I8" s="21" t="s">
        <v>55</v>
      </c>
      <c r="J8" s="41" t="s">
        <v>56</v>
      </c>
      <c r="K8" s="42"/>
      <c r="L8" s="43"/>
    </row>
    <row r="9" spans="1:12" s="35" customFormat="1" ht="21.95" customHeight="1" thickBot="1" x14ac:dyDescent="0.2">
      <c r="A9" s="197"/>
      <c r="B9" s="22" t="s">
        <v>24</v>
      </c>
      <c r="C9" s="23" t="s">
        <v>23</v>
      </c>
      <c r="D9" s="24" t="s">
        <v>57</v>
      </c>
      <c r="E9" s="25" t="s">
        <v>58</v>
      </c>
      <c r="F9" s="24"/>
      <c r="G9" s="24" t="s">
        <v>59</v>
      </c>
      <c r="H9" s="24" t="s">
        <v>57</v>
      </c>
      <c r="I9" s="24"/>
      <c r="J9" s="44" t="s">
        <v>60</v>
      </c>
      <c r="K9" s="45"/>
      <c r="L9" s="46"/>
    </row>
    <row r="10" spans="1:12" s="35" customFormat="1" ht="21.95" customHeight="1" x14ac:dyDescent="0.15">
      <c r="A10" s="26">
        <v>1</v>
      </c>
      <c r="B10" s="9">
        <f>測定データ!A25</f>
        <v>200</v>
      </c>
      <c r="C10" s="10">
        <f>測定データ!C25</f>
        <v>304</v>
      </c>
      <c r="D10" s="6">
        <f>IF(測定データ!F25="","",測定データ!F25)</f>
        <v>34.03</v>
      </c>
      <c r="E10" s="47">
        <f>測定データ!D25</f>
        <v>19.5</v>
      </c>
      <c r="F10" s="6">
        <f>測定データ!E25</f>
        <v>1.7</v>
      </c>
      <c r="G10" s="27">
        <f>IF(D10="","",ROUND(E10/(D10*0.0001)/3600,2))</f>
        <v>1.59</v>
      </c>
      <c r="H10" s="64">
        <f>ROUND(1/(0.36*((2*9.8)/(353/(273+測定データ!$I$14)))^0.5)*E10,1)</f>
        <v>13.4</v>
      </c>
      <c r="I10" s="27">
        <f>IF(G10="","",ROUND((2*9.8)/((353/(273+測定データ!$I$14))*G10^2),1))</f>
        <v>6.4</v>
      </c>
      <c r="J10" s="48">
        <f>E10</f>
        <v>19.5</v>
      </c>
      <c r="K10" s="58" t="s">
        <v>61</v>
      </c>
      <c r="L10" s="61">
        <f>ROUND(1/F10,2)</f>
        <v>0.59</v>
      </c>
    </row>
    <row r="11" spans="1:12" s="35" customFormat="1" ht="21.95" customHeight="1" x14ac:dyDescent="0.15">
      <c r="A11" s="29">
        <v>2</v>
      </c>
      <c r="B11" s="11">
        <f>測定データ!A26</f>
        <v>304.5</v>
      </c>
      <c r="C11" s="12">
        <f>測定データ!C26</f>
        <v>440</v>
      </c>
      <c r="D11" s="7">
        <f>IF(測定データ!F26="","",測定データ!F26)</f>
        <v>51.05</v>
      </c>
      <c r="E11" s="2">
        <f>測定データ!D26</f>
        <v>37.5</v>
      </c>
      <c r="F11" s="7">
        <f>測定データ!E26</f>
        <v>1.8</v>
      </c>
      <c r="G11" s="28">
        <f>IF(D11="","",ROUND(E11/(D11*0.0001)/3600,2))</f>
        <v>2.04</v>
      </c>
      <c r="H11" s="51">
        <f>ROUND(1/(0.36*((2*9.8)/(353/(273+測定データ!$I$14)))^0.5)*E11,1)</f>
        <v>25.8</v>
      </c>
      <c r="I11" s="28">
        <f>IF(G11="","",ROUND((2*9.8)/((353/(273+測定データ!$I$14))*G11^2),1))</f>
        <v>3.9</v>
      </c>
      <c r="J11" s="52">
        <f>E11</f>
        <v>37.5</v>
      </c>
      <c r="K11" s="59" t="s">
        <v>61</v>
      </c>
      <c r="L11" s="62">
        <f>ROUND(1/F11,2)</f>
        <v>0.56000000000000005</v>
      </c>
    </row>
    <row r="12" spans="1:12" s="35" customFormat="1" ht="21.95" customHeight="1" x14ac:dyDescent="0.15">
      <c r="A12" s="29">
        <v>3</v>
      </c>
      <c r="B12" s="11">
        <f>測定データ!A27</f>
        <v>440.5</v>
      </c>
      <c r="C12" s="12">
        <f>測定データ!C27</f>
        <v>590</v>
      </c>
      <c r="D12" s="7">
        <f>IF(測定データ!F27="","",測定データ!F27)</f>
        <v>85.08</v>
      </c>
      <c r="E12" s="2">
        <f>測定データ!D27</f>
        <v>58.8</v>
      </c>
      <c r="F12" s="7">
        <f>測定データ!E27</f>
        <v>1.9</v>
      </c>
      <c r="G12" s="28">
        <f>IF(D12="","",ROUND(E12/(D12*0.0001)/3600,2))</f>
        <v>1.92</v>
      </c>
      <c r="H12" s="51">
        <f>ROUND(1/(0.36*((2*9.8)/(353/(273+測定データ!$I$14)))^0.5)*E12,1)</f>
        <v>40.5</v>
      </c>
      <c r="I12" s="28">
        <f>IF(G12="","",ROUND((2*9.8)/((353/(273+測定データ!$I$14))*G12^2),1))</f>
        <v>4.4000000000000004</v>
      </c>
      <c r="J12" s="52">
        <f>E12</f>
        <v>58.8</v>
      </c>
      <c r="K12" s="59" t="s">
        <v>91</v>
      </c>
      <c r="L12" s="62">
        <f>ROUND(1/F12,2)</f>
        <v>0.53</v>
      </c>
    </row>
    <row r="13" spans="1:12" s="35" customFormat="1" ht="21.95" customHeight="1" x14ac:dyDescent="0.15">
      <c r="A13" s="29">
        <v>4</v>
      </c>
      <c r="B13" s="11">
        <f>測定データ!A28</f>
        <v>590.5</v>
      </c>
      <c r="C13" s="12">
        <f>測定データ!C28</f>
        <v>740</v>
      </c>
      <c r="D13" s="7">
        <f>IF(測定データ!F28="","",測定データ!F28)</f>
        <v>119.1</v>
      </c>
      <c r="E13" s="2">
        <f>測定データ!D28</f>
        <v>81.2</v>
      </c>
      <c r="F13" s="7">
        <f>測定データ!E28</f>
        <v>2</v>
      </c>
      <c r="G13" s="28">
        <f>IF(D13="","",ROUND(E13/(D13*0.0001)/3600,2))</f>
        <v>1.89</v>
      </c>
      <c r="H13" s="51">
        <f>ROUND(1/(0.36*((2*9.8)/(353/(273+測定データ!$I$14)))^0.5)*E13,1)</f>
        <v>55.9</v>
      </c>
      <c r="I13" s="28">
        <f>IF(G13="","",ROUND((2*9.8)/((353/(273+測定データ!$I$14))*G13^2),1))</f>
        <v>4.5999999999999996</v>
      </c>
      <c r="J13" s="52">
        <f>E13</f>
        <v>81.2</v>
      </c>
      <c r="K13" s="59" t="s">
        <v>91</v>
      </c>
      <c r="L13" s="62">
        <f>ROUND(1/F13,2)</f>
        <v>0.5</v>
      </c>
    </row>
    <row r="14" spans="1:12" s="35" customFormat="1" ht="21.95" customHeight="1" thickBot="1" x14ac:dyDescent="0.2">
      <c r="A14" s="84">
        <v>5</v>
      </c>
      <c r="B14" s="13">
        <f>測定データ!A29</f>
        <v>740.5</v>
      </c>
      <c r="C14" s="14">
        <f>測定データ!C29</f>
        <v>890</v>
      </c>
      <c r="D14" s="8">
        <f>IF(測定データ!F29="","",測定データ!F29)</f>
        <v>153.13999999999999</v>
      </c>
      <c r="E14" s="3">
        <f>測定データ!D29</f>
        <v>103.7</v>
      </c>
      <c r="F14" s="8">
        <f>測定データ!E29</f>
        <v>2</v>
      </c>
      <c r="G14" s="30">
        <f>IF(D14="","",ROUND(E14/(D14*0.0001)/3600,2))</f>
        <v>1.88</v>
      </c>
      <c r="H14" s="53">
        <f>ROUND(1/(0.36*((2*9.8)/(353/(273+測定データ!$I$14)))^0.5)*E14,1)</f>
        <v>71.400000000000006</v>
      </c>
      <c r="I14" s="30">
        <f>IF(G14="","",ROUND((2*9.8)/((353/(273+測定データ!$I$14))*G14^2),1))</f>
        <v>4.5999999999999996</v>
      </c>
      <c r="J14" s="54">
        <f>E14</f>
        <v>103.7</v>
      </c>
      <c r="K14" s="60" t="s">
        <v>91</v>
      </c>
      <c r="L14" s="63">
        <f>ROUND(1/F14,2)</f>
        <v>0.5</v>
      </c>
    </row>
    <row r="15" spans="1:12" s="35" customFormat="1" ht="21.95" customHeight="1" x14ac:dyDescent="0.15">
      <c r="A15" s="55"/>
      <c r="B15" s="49"/>
      <c r="C15" s="49"/>
      <c r="D15" s="5"/>
      <c r="E15" s="4"/>
      <c r="F15" s="4"/>
      <c r="G15" s="31"/>
      <c r="H15" s="4"/>
      <c r="I15" s="31"/>
      <c r="J15" s="49"/>
      <c r="K15" s="50"/>
      <c r="L15" s="56"/>
    </row>
    <row r="16" spans="1:12" s="35" customFormat="1" ht="21.95" customHeight="1" x14ac:dyDescent="0.15">
      <c r="A16" s="35" t="s">
        <v>25</v>
      </c>
    </row>
    <row r="17" spans="1:11" s="35" customFormat="1" ht="21.95" customHeight="1" x14ac:dyDescent="0.15">
      <c r="A17" s="57"/>
    </row>
    <row r="23" spans="1:11" x14ac:dyDescent="0.15">
      <c r="D23" s="1"/>
      <c r="E23" s="1"/>
      <c r="F23" s="1"/>
      <c r="G23" s="1"/>
      <c r="H23" s="1"/>
      <c r="I23" s="1"/>
      <c r="J23" s="1"/>
      <c r="K23" s="1"/>
    </row>
    <row r="24" spans="1:11" x14ac:dyDescent="0.15">
      <c r="D24" s="1"/>
      <c r="E24" s="1"/>
      <c r="F24" s="1"/>
      <c r="G24" s="1"/>
      <c r="H24" s="1"/>
      <c r="I24" s="1"/>
      <c r="J24" s="1"/>
      <c r="K24" s="1"/>
    </row>
  </sheetData>
  <mergeCells count="4">
    <mergeCell ref="A7:A9"/>
    <mergeCell ref="C3:I3"/>
    <mergeCell ref="C4:I5"/>
    <mergeCell ref="F1:H1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activeCell="P8" sqref="P8"/>
    </sheetView>
  </sheetViews>
  <sheetFormatPr defaultColWidth="9" defaultRowHeight="13.5" x14ac:dyDescent="0.15"/>
  <cols>
    <col min="1" max="1" width="15.625" style="66" customWidth="1"/>
    <col min="2" max="2" width="14.625" style="66" customWidth="1"/>
    <col min="3" max="8" width="8.625" style="66" customWidth="1"/>
    <col min="9" max="10" width="9" style="66"/>
    <col min="11" max="11" width="5.125" style="66" bestFit="1" customWidth="1"/>
    <col min="12" max="15" width="6.125" style="66" bestFit="1" customWidth="1"/>
    <col min="16" max="16384" width="9" style="66"/>
  </cols>
  <sheetData>
    <row r="1" spans="1:10" ht="17.25" x14ac:dyDescent="0.15">
      <c r="A1" s="122" t="s">
        <v>18</v>
      </c>
      <c r="C1" s="186" t="s">
        <v>37</v>
      </c>
      <c r="D1" s="187"/>
      <c r="E1" s="188"/>
    </row>
    <row r="2" spans="1:10" ht="14.1" customHeight="1" x14ac:dyDescent="0.15"/>
    <row r="3" spans="1:10" s="123" customFormat="1" ht="14.1" customHeight="1" x14ac:dyDescent="0.15">
      <c r="B3" s="124"/>
      <c r="C3" s="125"/>
      <c r="D3" s="125"/>
      <c r="E3" s="125"/>
      <c r="F3" s="126" t="s">
        <v>2</v>
      </c>
      <c r="G3" s="127" t="s">
        <v>80</v>
      </c>
      <c r="H3" s="128"/>
    </row>
    <row r="4" spans="1:10" s="123" customFormat="1" ht="14.1" customHeight="1" x14ac:dyDescent="0.15">
      <c r="F4" s="126" t="s">
        <v>74</v>
      </c>
      <c r="G4" s="129" t="str">
        <f>測定データ!B10</f>
        <v>２００４，　５，１４</v>
      </c>
      <c r="H4" s="130"/>
    </row>
    <row r="5" spans="1:10" s="123" customFormat="1" ht="14.1" customHeight="1" x14ac:dyDescent="0.15">
      <c r="F5" s="126" t="s">
        <v>75</v>
      </c>
      <c r="G5" s="129" t="str">
        <f>測定データ!B9</f>
        <v>小野寺</v>
      </c>
      <c r="H5" s="130"/>
    </row>
    <row r="6" spans="1:10" s="123" customFormat="1" ht="14.1" customHeight="1" thickBot="1" x14ac:dyDescent="0.2">
      <c r="A6" s="207"/>
      <c r="B6" s="208"/>
      <c r="C6" s="208"/>
      <c r="D6" s="208"/>
      <c r="E6" s="208"/>
      <c r="F6" s="208"/>
      <c r="G6" s="208"/>
      <c r="H6" s="208"/>
    </row>
    <row r="7" spans="1:10" s="123" customFormat="1" ht="20.100000000000001" customHeight="1" x14ac:dyDescent="0.15">
      <c r="A7" s="203" t="s">
        <v>3</v>
      </c>
      <c r="B7" s="204"/>
      <c r="C7" s="212" t="str">
        <f>測定データ!B7</f>
        <v>ルーバーブレス</v>
      </c>
      <c r="D7" s="213"/>
      <c r="E7" s="213"/>
      <c r="F7" s="213"/>
      <c r="G7" s="213"/>
      <c r="H7" s="214"/>
    </row>
    <row r="8" spans="1:10" s="123" customFormat="1" ht="20.100000000000001" customHeight="1" thickBot="1" x14ac:dyDescent="0.2">
      <c r="A8" s="205" t="s">
        <v>35</v>
      </c>
      <c r="B8" s="206"/>
      <c r="C8" s="132" t="str">
        <f>測定データ!B8</f>
        <v>ＳＶ６０１Ｌ</v>
      </c>
      <c r="D8" s="133"/>
      <c r="E8" s="133"/>
      <c r="F8" s="134"/>
      <c r="G8" s="134"/>
      <c r="H8" s="135"/>
    </row>
    <row r="9" spans="1:10" s="123" customFormat="1" ht="20.100000000000001" customHeight="1" x14ac:dyDescent="0.15">
      <c r="A9" s="131" t="s">
        <v>63</v>
      </c>
      <c r="B9" s="136"/>
      <c r="C9" s="77" t="s">
        <v>87</v>
      </c>
      <c r="D9" s="78">
        <f>IF('PQ-SV013 SV601LG'!C20&lt;測定データ!A25,"製作範囲外",IF('PQ-SV013 SV601LG'!C20&gt;測定データ!C29,"製作範囲外",'PQ-SV013 SV601LG'!C20))</f>
        <v>200</v>
      </c>
      <c r="E9" s="79"/>
      <c r="F9" s="79"/>
      <c r="G9" s="79"/>
      <c r="H9" s="80" t="s">
        <v>88</v>
      </c>
      <c r="I9" s="66"/>
      <c r="J9" s="66"/>
    </row>
    <row r="10" spans="1:10" ht="20.100000000000001" customHeight="1" x14ac:dyDescent="0.15">
      <c r="A10" s="137" t="s">
        <v>4</v>
      </c>
      <c r="B10" s="68"/>
      <c r="C10" s="69" t="s">
        <v>89</v>
      </c>
      <c r="D10" s="81">
        <f>IF(測定データ!F25="","",IF(D9&lt;=測定データ!C25,測定データ!F25,IF(D9&lt;=測定データ!C26,測定データ!F26,IF(D9&lt;=測定データ!C27,測定データ!F27,IF(D9&lt;=測定データ!C28,測定データ!F28,IF(D9&lt;=測定データ!C29,測定データ!F29,IF(D9&lt;=測定データ!#REF!,測定データ!#REF!,IF(D9&lt;=測定データ!#REF!,測定データ!#REF!,I10))))))))</f>
        <v>34.03</v>
      </c>
      <c r="E10" s="82"/>
      <c r="F10" s="82"/>
      <c r="G10" s="82"/>
      <c r="H10" s="83" t="s">
        <v>90</v>
      </c>
      <c r="I10" s="81"/>
      <c r="J10" s="81"/>
    </row>
    <row r="11" spans="1:10" ht="20.100000000000001" customHeight="1" x14ac:dyDescent="0.15">
      <c r="A11" s="67" t="s">
        <v>7</v>
      </c>
      <c r="B11" s="68"/>
      <c r="C11" s="69" t="s">
        <v>64</v>
      </c>
      <c r="D11" s="70">
        <f>ROUND(1/(0.36*((2*9.8)/(353/(273+測定データ!I14)))^0.5)*D14,1)</f>
        <v>8.1</v>
      </c>
      <c r="E11" s="71"/>
      <c r="F11" s="71"/>
      <c r="G11" s="71"/>
      <c r="H11" s="73" t="s">
        <v>65</v>
      </c>
    </row>
    <row r="12" spans="1:10" s="123" customFormat="1" ht="20.100000000000001" customHeight="1" x14ac:dyDescent="0.15">
      <c r="A12" s="67" t="s">
        <v>0</v>
      </c>
      <c r="B12" s="68"/>
      <c r="C12" s="69" t="s">
        <v>66</v>
      </c>
      <c r="D12" s="70">
        <f>D14</f>
        <v>11.778000000000002</v>
      </c>
      <c r="E12" s="138" t="s">
        <v>67</v>
      </c>
      <c r="F12" s="139">
        <f>ROUND(1/D13,2)</f>
        <v>0.59</v>
      </c>
      <c r="G12" s="140"/>
      <c r="H12" s="141" t="s">
        <v>68</v>
      </c>
    </row>
    <row r="13" spans="1:10" ht="20.100000000000001" customHeight="1" x14ac:dyDescent="0.15">
      <c r="A13" s="137" t="s">
        <v>5</v>
      </c>
      <c r="B13" s="68"/>
      <c r="C13" s="69" t="s">
        <v>69</v>
      </c>
      <c r="D13" s="142">
        <f>IF(ROUND(測定データ!H21*D9+測定データ!J21,1)&lt;1,1,IF(ROUND(測定データ!H21*D9+測定データ!J21,1)&gt;2,2,(ROUND(測定データ!H21*D9+測定データ!J21,1))))</f>
        <v>1.7</v>
      </c>
      <c r="E13" s="71"/>
      <c r="F13" s="71"/>
      <c r="G13" s="71"/>
      <c r="H13" s="72"/>
    </row>
    <row r="14" spans="1:10" ht="20.100000000000001" customHeight="1" x14ac:dyDescent="0.15">
      <c r="A14" s="67" t="s">
        <v>6</v>
      </c>
      <c r="B14" s="68"/>
      <c r="C14" s="69" t="s">
        <v>70</v>
      </c>
      <c r="D14" s="70">
        <f>測定データ!H20*D9+測定データ!J20</f>
        <v>11.778000000000002</v>
      </c>
      <c r="E14" s="71"/>
      <c r="F14" s="71"/>
      <c r="G14" s="71"/>
      <c r="H14" s="72" t="s">
        <v>71</v>
      </c>
    </row>
    <row r="15" spans="1:10" ht="20.100000000000001" customHeight="1" x14ac:dyDescent="0.15">
      <c r="A15" s="67" t="s">
        <v>8</v>
      </c>
      <c r="B15" s="68"/>
      <c r="C15" s="69" t="s">
        <v>72</v>
      </c>
      <c r="D15" s="143">
        <f>ROUND(D11/D10,3)</f>
        <v>0.23799999999999999</v>
      </c>
      <c r="E15" s="71"/>
      <c r="F15" s="71"/>
      <c r="G15" s="71"/>
      <c r="H15" s="144"/>
    </row>
    <row r="16" spans="1:10" ht="20.100000000000001" customHeight="1" x14ac:dyDescent="0.15">
      <c r="A16" s="67" t="s">
        <v>9</v>
      </c>
      <c r="B16" s="68"/>
      <c r="C16" s="69" t="s">
        <v>13</v>
      </c>
      <c r="D16" s="145">
        <f>ROUND(D14/(D10*0.0001)/3600,2)</f>
        <v>0.96</v>
      </c>
      <c r="E16" s="146"/>
      <c r="F16" s="147"/>
      <c r="G16" s="147"/>
      <c r="H16" s="148" t="s">
        <v>14</v>
      </c>
    </row>
    <row r="17" spans="1:8" ht="20.100000000000001" customHeight="1" thickBot="1" x14ac:dyDescent="0.2">
      <c r="A17" s="74" t="s">
        <v>10</v>
      </c>
      <c r="B17" s="75"/>
      <c r="C17" s="76" t="s">
        <v>73</v>
      </c>
      <c r="D17" s="149">
        <f>ROUND((2*9.8)/((353/(273+測定データ!I14))*D16^2),2)</f>
        <v>17.649999999999999</v>
      </c>
      <c r="E17" s="150"/>
      <c r="F17" s="151"/>
      <c r="G17" s="151"/>
      <c r="H17" s="152"/>
    </row>
    <row r="18" spans="1:8" ht="20.100000000000001" customHeight="1" x14ac:dyDescent="0.15">
      <c r="A18" s="209" t="s">
        <v>1</v>
      </c>
      <c r="B18" s="210"/>
      <c r="C18" s="210"/>
      <c r="D18" s="210"/>
      <c r="E18" s="210"/>
      <c r="F18" s="210"/>
      <c r="G18" s="210"/>
      <c r="H18" s="211"/>
    </row>
    <row r="19" spans="1:8" ht="399.95" customHeight="1" thickBot="1" x14ac:dyDescent="0.2">
      <c r="A19" s="200"/>
      <c r="B19" s="201"/>
      <c r="C19" s="201"/>
      <c r="D19" s="201"/>
      <c r="E19" s="201"/>
      <c r="F19" s="201"/>
      <c r="G19" s="201"/>
      <c r="H19" s="202"/>
    </row>
    <row r="20" spans="1:8" ht="20.100000000000001" customHeight="1" x14ac:dyDescent="0.15"/>
    <row r="21" spans="1:8" ht="20.100000000000001" customHeight="1" x14ac:dyDescent="0.15">
      <c r="A21" s="85" t="s">
        <v>11</v>
      </c>
      <c r="B21" s="86">
        <v>0</v>
      </c>
      <c r="C21" s="87">
        <v>1</v>
      </c>
      <c r="D21" s="87">
        <v>3</v>
      </c>
      <c r="E21" s="87">
        <v>5</v>
      </c>
      <c r="F21" s="87">
        <v>10</v>
      </c>
      <c r="G21" s="87">
        <v>30</v>
      </c>
      <c r="H21" s="87">
        <v>50</v>
      </c>
    </row>
    <row r="22" spans="1:8" ht="20.100000000000001" customHeight="1" x14ac:dyDescent="0.15">
      <c r="A22" s="85" t="s">
        <v>12</v>
      </c>
      <c r="B22" s="88">
        <f t="shared" ref="B22:H22" si="0">$D$14*(B21/9.8)^(1/$D$13)</f>
        <v>0</v>
      </c>
      <c r="C22" s="88">
        <f t="shared" si="0"/>
        <v>3.0760783127320375</v>
      </c>
      <c r="D22" s="88">
        <f t="shared" si="0"/>
        <v>5.8702547605987929</v>
      </c>
      <c r="E22" s="88">
        <f t="shared" si="0"/>
        <v>7.9278644113668273</v>
      </c>
      <c r="F22" s="88">
        <f t="shared" si="0"/>
        <v>11.918804106917504</v>
      </c>
      <c r="G22" s="88">
        <f t="shared" si="0"/>
        <v>22.745330071631304</v>
      </c>
      <c r="H22" s="88">
        <f t="shared" si="0"/>
        <v>30.717898993072634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7">
    <mergeCell ref="C1:E1"/>
    <mergeCell ref="A19:H19"/>
    <mergeCell ref="A7:B7"/>
    <mergeCell ref="A8:B8"/>
    <mergeCell ref="A6:H6"/>
    <mergeCell ref="A18:H18"/>
    <mergeCell ref="C7:H7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9"/>
  <sheetViews>
    <sheetView showGridLines="0" showRowColHeaders="0" tabSelected="1" zoomScale="75" workbookViewId="0">
      <selection activeCell="C20" sqref="C20"/>
    </sheetView>
  </sheetViews>
  <sheetFormatPr defaultColWidth="9" defaultRowHeight="13.5" x14ac:dyDescent="0.15"/>
  <cols>
    <col min="1" max="1" width="15.625" style="177" customWidth="1"/>
    <col min="2" max="2" width="14.625" style="177" customWidth="1"/>
    <col min="3" max="8" width="9.125" style="177" customWidth="1"/>
    <col min="9" max="10" width="9" style="177"/>
    <col min="11" max="11" width="5.125" style="177" bestFit="1" customWidth="1"/>
    <col min="12" max="15" width="6.125" style="177" bestFit="1" customWidth="1"/>
    <col min="16" max="16384" width="9" style="177"/>
  </cols>
  <sheetData>
    <row r="1" spans="1:8" ht="27" customHeight="1" x14ac:dyDescent="0.15">
      <c r="A1" s="220" t="s">
        <v>101</v>
      </c>
      <c r="B1" s="220"/>
      <c r="C1" s="220"/>
      <c r="D1" s="220"/>
      <c r="E1" s="220"/>
      <c r="F1" s="219" t="s">
        <v>100</v>
      </c>
      <c r="G1" s="219"/>
      <c r="H1" s="219"/>
    </row>
    <row r="2" spans="1:8" ht="27" customHeight="1" x14ac:dyDescent="0.15">
      <c r="A2" s="223"/>
      <c r="B2" s="223"/>
      <c r="C2" s="223"/>
      <c r="D2" s="223"/>
      <c r="E2" s="223"/>
    </row>
    <row r="3" spans="1:8" ht="27" customHeight="1" x14ac:dyDescent="0.15">
      <c r="A3" s="223"/>
      <c r="B3" s="223"/>
      <c r="C3" s="223"/>
      <c r="D3" s="223"/>
      <c r="E3" s="223"/>
    </row>
    <row r="4" spans="1:8" ht="27" customHeight="1" x14ac:dyDescent="0.15">
      <c r="A4" s="223"/>
      <c r="B4" s="223"/>
      <c r="C4" s="223"/>
      <c r="D4" s="223"/>
      <c r="E4" s="223"/>
    </row>
    <row r="5" spans="1:8" ht="27" customHeight="1" x14ac:dyDescent="0.15">
      <c r="A5" s="223"/>
      <c r="B5" s="223"/>
      <c r="C5" s="223"/>
      <c r="D5" s="223"/>
      <c r="E5" s="223"/>
    </row>
    <row r="6" spans="1:8" ht="27" customHeight="1" x14ac:dyDescent="0.15">
      <c r="A6" s="223"/>
      <c r="B6" s="223"/>
      <c r="C6" s="223"/>
      <c r="D6" s="223"/>
      <c r="E6" s="223"/>
    </row>
    <row r="7" spans="1:8" ht="27" customHeight="1" x14ac:dyDescent="0.15">
      <c r="A7" s="223"/>
      <c r="B7" s="223"/>
      <c r="C7" s="223"/>
      <c r="D7" s="223"/>
      <c r="E7" s="223"/>
    </row>
    <row r="8" spans="1:8" ht="27" customHeight="1" x14ac:dyDescent="0.15">
      <c r="A8" s="223"/>
      <c r="B8" s="223"/>
      <c r="C8" s="223"/>
      <c r="D8" s="223"/>
      <c r="E8" s="223"/>
    </row>
    <row r="9" spans="1:8" ht="27" customHeight="1" x14ac:dyDescent="0.15">
      <c r="A9" s="223"/>
      <c r="B9" s="223"/>
      <c r="C9" s="223"/>
      <c r="D9" s="223"/>
      <c r="E9" s="223"/>
    </row>
    <row r="10" spans="1:8" ht="27" customHeight="1" x14ac:dyDescent="0.15">
      <c r="A10" s="223"/>
      <c r="B10" s="223"/>
      <c r="C10" s="223"/>
      <c r="D10" s="223"/>
      <c r="E10" s="223"/>
    </row>
    <row r="11" spans="1:8" ht="27" customHeight="1" x14ac:dyDescent="0.15">
      <c r="A11" s="223"/>
      <c r="B11" s="223"/>
      <c r="C11" s="223"/>
      <c r="D11" s="223"/>
      <c r="E11" s="223"/>
    </row>
    <row r="12" spans="1:8" ht="27" customHeight="1" x14ac:dyDescent="0.15">
      <c r="A12" s="223"/>
      <c r="B12" s="223"/>
      <c r="C12" s="223"/>
      <c r="D12" s="223"/>
      <c r="E12" s="223"/>
    </row>
    <row r="13" spans="1:8" ht="27" customHeight="1" x14ac:dyDescent="0.15">
      <c r="A13" s="223"/>
      <c r="B13" s="223"/>
      <c r="C13" s="223"/>
      <c r="D13" s="223"/>
      <c r="E13" s="223"/>
    </row>
    <row r="14" spans="1:8" ht="27" customHeight="1" x14ac:dyDescent="0.15">
      <c r="A14" s="223"/>
      <c r="B14" s="223"/>
      <c r="C14" s="223"/>
      <c r="D14" s="223"/>
      <c r="E14" s="223"/>
    </row>
    <row r="15" spans="1:8" ht="27" customHeight="1" x14ac:dyDescent="0.15">
      <c r="A15" s="220" t="s">
        <v>94</v>
      </c>
      <c r="B15" s="220"/>
      <c r="C15" s="220"/>
      <c r="D15" s="220"/>
      <c r="E15" s="220"/>
      <c r="F15" s="220"/>
      <c r="G15" s="220"/>
      <c r="H15" s="220"/>
    </row>
    <row r="16" spans="1:8" ht="279" customHeight="1" x14ac:dyDescent="0.15">
      <c r="A16" s="221"/>
      <c r="B16" s="222"/>
      <c r="C16" s="222"/>
      <c r="D16" s="222"/>
      <c r="E16" s="222"/>
      <c r="F16" s="222"/>
      <c r="G16" s="222"/>
      <c r="H16" s="222"/>
    </row>
    <row r="17" spans="1:8" ht="5.25" customHeight="1" x14ac:dyDescent="0.15">
      <c r="A17" s="175"/>
      <c r="B17" s="176"/>
      <c r="C17" s="176"/>
      <c r="D17" s="176"/>
      <c r="E17" s="176"/>
      <c r="F17" s="176"/>
      <c r="G17" s="176"/>
      <c r="H17" s="176"/>
    </row>
    <row r="18" spans="1:8" ht="27" customHeight="1" x14ac:dyDescent="0.15">
      <c r="A18" s="220" t="s">
        <v>95</v>
      </c>
      <c r="B18" s="220"/>
      <c r="C18" s="220"/>
      <c r="D18" s="220"/>
      <c r="E18" s="220"/>
      <c r="F18" s="220"/>
      <c r="G18" s="220"/>
      <c r="H18" s="220"/>
    </row>
    <row r="19" spans="1:8" ht="4.5" customHeight="1" thickBot="1" x14ac:dyDescent="0.2">
      <c r="A19" s="160"/>
      <c r="B19" s="160"/>
      <c r="C19" s="160"/>
      <c r="D19" s="160"/>
      <c r="E19" s="160"/>
      <c r="F19" s="160"/>
      <c r="G19" s="160"/>
      <c r="H19" s="160"/>
    </row>
    <row r="20" spans="1:8" ht="30" customHeight="1" x14ac:dyDescent="0.15">
      <c r="A20" s="224" t="s">
        <v>102</v>
      </c>
      <c r="B20" s="225"/>
      <c r="C20" s="65">
        <v>200</v>
      </c>
      <c r="D20" s="178" t="str">
        <f>IF(サイズ毎!$D$9="製作範囲外","左記寸法は製作範囲外です。","")</f>
        <v/>
      </c>
      <c r="E20" s="161"/>
      <c r="F20" s="161"/>
      <c r="G20" s="161"/>
      <c r="H20" s="153" t="s">
        <v>96</v>
      </c>
    </row>
    <row r="21" spans="1:8" ht="15.75" customHeight="1" x14ac:dyDescent="0.15">
      <c r="A21" s="215" t="s">
        <v>6</v>
      </c>
      <c r="B21" s="216"/>
      <c r="C21" s="158" t="s">
        <v>70</v>
      </c>
      <c r="D21" s="162">
        <f>サイズ毎!D14</f>
        <v>11.778000000000002</v>
      </c>
      <c r="E21" s="163"/>
      <c r="F21" s="163"/>
      <c r="G21" s="163"/>
      <c r="H21" s="154" t="s">
        <v>68</v>
      </c>
    </row>
    <row r="22" spans="1:8" ht="15.75" customHeight="1" x14ac:dyDescent="0.15">
      <c r="A22" s="215" t="s">
        <v>4</v>
      </c>
      <c r="B22" s="216"/>
      <c r="C22" s="158" t="s">
        <v>85</v>
      </c>
      <c r="D22" s="162">
        <f>サイズ毎!D10</f>
        <v>34.03</v>
      </c>
      <c r="E22" s="163"/>
      <c r="F22" s="163"/>
      <c r="G22" s="163"/>
      <c r="H22" s="155" t="s">
        <v>97</v>
      </c>
    </row>
    <row r="23" spans="1:8" ht="15.75" customHeight="1" x14ac:dyDescent="0.15">
      <c r="A23" s="215" t="s">
        <v>7</v>
      </c>
      <c r="B23" s="216"/>
      <c r="C23" s="158" t="s">
        <v>64</v>
      </c>
      <c r="D23" s="162">
        <f>サイズ毎!D11</f>
        <v>8.1</v>
      </c>
      <c r="E23" s="163"/>
      <c r="F23" s="163"/>
      <c r="G23" s="163"/>
      <c r="H23" s="155" t="s">
        <v>97</v>
      </c>
    </row>
    <row r="24" spans="1:8" ht="15.75" customHeight="1" thickBot="1" x14ac:dyDescent="0.2">
      <c r="A24" s="217" t="s">
        <v>0</v>
      </c>
      <c r="B24" s="218"/>
      <c r="C24" s="159" t="s">
        <v>66</v>
      </c>
      <c r="D24" s="164">
        <f>D21</f>
        <v>11.778000000000002</v>
      </c>
      <c r="E24" s="165" t="s">
        <v>86</v>
      </c>
      <c r="F24" s="166">
        <f>ROUND(1/サイズ毎!D13,2)</f>
        <v>0.59</v>
      </c>
      <c r="G24" s="167"/>
      <c r="H24" s="156" t="s">
        <v>68</v>
      </c>
    </row>
    <row r="25" spans="1:8" ht="14.25" customHeight="1" x14ac:dyDescent="0.15"/>
    <row r="26" spans="1:8" ht="14.25" customHeight="1" x14ac:dyDescent="0.15">
      <c r="A26" s="168"/>
      <c r="B26" s="168"/>
      <c r="C26" s="157" t="s">
        <v>99</v>
      </c>
      <c r="D26" s="168"/>
      <c r="E26" s="168"/>
      <c r="F26" s="168"/>
      <c r="G26" s="157"/>
      <c r="H26" s="169" t="s">
        <v>98</v>
      </c>
    </row>
    <row r="27" spans="1:8" ht="14.25" customHeight="1" x14ac:dyDescent="0.15"/>
    <row r="28" spans="1:8" s="173" customFormat="1" ht="14.25" x14ac:dyDescent="0.15">
      <c r="A28" s="170" t="s">
        <v>11</v>
      </c>
      <c r="B28" s="171">
        <v>0</v>
      </c>
      <c r="C28" s="172">
        <v>1</v>
      </c>
      <c r="D28" s="172">
        <v>3</v>
      </c>
      <c r="E28" s="172">
        <v>5</v>
      </c>
      <c r="F28" s="172">
        <v>10</v>
      </c>
      <c r="G28" s="172">
        <v>30</v>
      </c>
      <c r="H28" s="172">
        <v>50</v>
      </c>
    </row>
    <row r="29" spans="1:8" s="173" customFormat="1" ht="14.25" x14ac:dyDescent="0.15">
      <c r="A29" s="170" t="s">
        <v>12</v>
      </c>
      <c r="B29" s="174">
        <f>$D$21*(B28/9.8)^($F$24)</f>
        <v>0</v>
      </c>
      <c r="C29" s="174">
        <f t="shared" ref="C29:H29" si="0">$D$21*(C28/9.8)^($F$24)</f>
        <v>3.0637136062762451</v>
      </c>
      <c r="D29" s="174">
        <f t="shared" si="0"/>
        <v>5.8580045626917814</v>
      </c>
      <c r="E29" s="174">
        <f t="shared" si="0"/>
        <v>7.9184552713681482</v>
      </c>
      <c r="F29" s="174">
        <f t="shared" si="0"/>
        <v>11.919229041746924</v>
      </c>
      <c r="G29" s="174">
        <f t="shared" si="0"/>
        <v>22.790282344695814</v>
      </c>
      <c r="H29" s="174">
        <f t="shared" si="0"/>
        <v>30.806365791801461</v>
      </c>
    </row>
  </sheetData>
  <sheetProtection password="E8FD" sheet="1" objects="1" scenarios="1" selectLockedCells="1"/>
  <mergeCells count="11">
    <mergeCell ref="A21:B21"/>
    <mergeCell ref="A22:B22"/>
    <mergeCell ref="A23:B23"/>
    <mergeCell ref="A24:B24"/>
    <mergeCell ref="F1:H1"/>
    <mergeCell ref="A1:E1"/>
    <mergeCell ref="A18:H18"/>
    <mergeCell ref="A15:H15"/>
    <mergeCell ref="A16:H16"/>
    <mergeCell ref="A2:E14"/>
    <mergeCell ref="A20:B20"/>
  </mergeCells>
  <phoneticPr fontId="1"/>
  <dataValidations count="1">
    <dataValidation type="decimal" allowBlank="1" showInputMessage="1" showErrorMessage="1" error="製作範囲外です。" sqref="C20">
      <formula1>200</formula1>
      <formula2>890</formula2>
    </dataValidation>
  </dataValidations>
  <pageMargins left="0.78740157480314965" right="0.59055118110236227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測定データ</vt:lpstr>
      <vt:lpstr>一覧表</vt:lpstr>
      <vt:lpstr>サイズ毎</vt:lpstr>
      <vt:lpstr>PQ-SV013 SV601LG</vt:lpstr>
      <vt:lpstr>'PQ-SV013 SV601LG'!Print_Area</vt:lpstr>
      <vt:lpstr>サイズ毎!Print_Area</vt:lpstr>
      <vt:lpstr>一覧表!Print_Area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WS12</dc:creator>
  <cp:lastModifiedBy>ws16</cp:lastModifiedBy>
  <cp:lastPrinted>2004-06-10T06:57:53Z</cp:lastPrinted>
  <dcterms:created xsi:type="dcterms:W3CDTF">1999-11-18T07:30:21Z</dcterms:created>
  <dcterms:modified xsi:type="dcterms:W3CDTF">2022-04-26T00:16:33Z</dcterms:modified>
</cp:coreProperties>
</file>