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fh5Bw9yhJcRWqhWZTYVQSdhNER6uO8oLqg0TW9BnwhFhXxgyPv9WAqY92Fp5ZE/u+VWwpzVMHipYHcG0hsuVfQ==" workbookSaltValue="27dnC92iLJ1z9on4UpCaYg==" workbookSpinCount="100000" lockStructure="1"/>
  <bookViews>
    <workbookView xWindow="0" yWindow="0" windowWidth="28800" windowHeight="14010" firstSheet="1" activeTab="1"/>
  </bookViews>
  <sheets>
    <sheet name="PQ-SV042 小屋裏エコルーバー　四角形（固定）" sheetId="5" state="hidden" r:id="rId1"/>
    <sheet name="PQ-SV042 小屋裏排熱エコルーバー　五角形（固定式）" sheetId="6" r:id="rId2"/>
    <sheet name="PQ-SV042 小屋裏エコルーバー　片流れ（固定）" sheetId="7" state="hidden" r:id="rId3"/>
    <sheet name="通気面接計算シート" sheetId="1" state="hidden" r:id="rId4"/>
    <sheet name="製品面積" sheetId="4" state="hidden" r:id="rId5"/>
  </sheets>
  <definedNames>
    <definedName name="_xlnm.Print_Area" localSheetId="1">'PQ-SV042 小屋裏排熱エコルーバー　五角形（固定式）'!$A$1:$H$33</definedName>
  </definedNames>
  <calcPr calcId="162913"/>
</workbook>
</file>

<file path=xl/calcChain.xml><?xml version="1.0" encoding="utf-8"?>
<calcChain xmlns="http://schemas.openxmlformats.org/spreadsheetml/2006/main">
  <c r="C5" i="1" l="1"/>
  <c r="C6" i="1"/>
  <c r="C12" i="1"/>
  <c r="C13" i="1"/>
  <c r="C14" i="1"/>
  <c r="J7" i="1" l="1"/>
  <c r="D7" i="1"/>
  <c r="C7" i="1" s="1"/>
  <c r="D12" i="1"/>
  <c r="F12" i="1" s="1"/>
  <c r="J15" i="1" s="1"/>
  <c r="E15" i="1" s="1"/>
  <c r="D15" i="1" s="1"/>
  <c r="C15" i="1" s="1"/>
  <c r="C21" i="1"/>
  <c r="C22" i="1"/>
  <c r="C20" i="1"/>
  <c r="F32" i="7"/>
  <c r="F29" i="6"/>
  <c r="F31" i="5" l="1"/>
  <c r="B63" i="4" l="1"/>
  <c r="B61" i="4"/>
  <c r="B62" i="4"/>
  <c r="D20" i="1"/>
  <c r="F20" i="1" s="1"/>
  <c r="J23" i="1" s="1"/>
  <c r="E23" i="1" s="1"/>
  <c r="D23" i="1" s="1"/>
  <c r="B56" i="4"/>
  <c r="C57" i="4" s="1"/>
  <c r="B54" i="4"/>
  <c r="B55" i="4"/>
  <c r="B46" i="4"/>
  <c r="B47" i="4"/>
  <c r="B33" i="4"/>
  <c r="B31" i="4"/>
  <c r="B32" i="4"/>
  <c r="B38" i="4"/>
  <c r="B40" i="4"/>
  <c r="C41" i="4" s="1"/>
  <c r="B39" i="4"/>
  <c r="B16" i="4"/>
  <c r="C16" i="4" s="1"/>
  <c r="B17" i="4"/>
  <c r="C17" i="4" s="1"/>
  <c r="B10" i="4"/>
  <c r="C10" i="4" s="1"/>
  <c r="B11" i="4"/>
  <c r="C11" i="4" s="1"/>
  <c r="D25" i="5"/>
  <c r="D29" i="5" s="1"/>
  <c r="D28" i="5" s="1"/>
  <c r="B5" i="4"/>
  <c r="C5" i="4" s="1"/>
  <c r="B4" i="4"/>
  <c r="C4" i="4" s="1"/>
  <c r="B25" i="4"/>
  <c r="C26" i="4" s="1"/>
  <c r="B23" i="4"/>
  <c r="B24" i="4"/>
  <c r="C34" i="4"/>
  <c r="D32" i="5" l="1"/>
  <c r="D33" i="5" s="1"/>
  <c r="D43" i="5"/>
  <c r="E43" i="5"/>
  <c r="F43" i="5"/>
  <c r="G43" i="5"/>
  <c r="H43" i="5"/>
  <c r="B43" i="5"/>
  <c r="C43" i="5"/>
  <c r="D31" i="5"/>
  <c r="C61" i="4"/>
  <c r="D61" i="4" s="1"/>
  <c r="F61" i="4" s="1"/>
  <c r="D34" i="4"/>
  <c r="E32" i="4" s="1"/>
  <c r="D64" i="4"/>
  <c r="E62" i="4" s="1"/>
  <c r="C64" i="4"/>
  <c r="D57" i="4"/>
  <c r="E55" i="4" s="1"/>
  <c r="C31" i="4"/>
  <c r="E31" i="4" s="1"/>
  <c r="C54" i="4"/>
  <c r="E54" i="4" s="1"/>
  <c r="G12" i="4"/>
  <c r="B12" i="4" s="1"/>
  <c r="C38" i="4"/>
  <c r="E38" i="4" s="1"/>
  <c r="D41" i="4"/>
  <c r="E41" i="4" s="1"/>
  <c r="F39" i="4" s="1"/>
  <c r="C23" i="4"/>
  <c r="D23" i="4" s="1"/>
  <c r="F23" i="4" s="1"/>
  <c r="D26" i="4"/>
  <c r="E24" i="4" s="1"/>
  <c r="C23" i="1"/>
  <c r="D26" i="7" s="1"/>
  <c r="D30" i="7" s="1"/>
  <c r="D29" i="7" s="1"/>
  <c r="G18" i="4"/>
  <c r="B18" i="4" s="1"/>
  <c r="G6" i="4"/>
  <c r="B6" i="4" s="1"/>
  <c r="J8" i="1" s="1"/>
  <c r="D8" i="1" s="1"/>
  <c r="C8" i="1" s="1"/>
  <c r="G43" i="7" l="1"/>
  <c r="F43" i="7"/>
  <c r="D43" i="7"/>
  <c r="C43" i="7"/>
  <c r="E43" i="7"/>
  <c r="B43" i="7"/>
  <c r="H43" i="7"/>
  <c r="D33" i="7"/>
  <c r="D34" i="7" s="1"/>
  <c r="D32" i="7"/>
  <c r="E34" i="4"/>
  <c r="F32" i="4" s="1"/>
  <c r="G32" i="4" s="1"/>
  <c r="B34" i="4" s="1"/>
  <c r="E64" i="4"/>
  <c r="F62" i="4" s="1"/>
  <c r="G62" i="4" s="1"/>
  <c r="B64" i="4" s="1"/>
  <c r="E61" i="4"/>
  <c r="G61" i="4" s="1"/>
  <c r="D54" i="4"/>
  <c r="F54" i="4" s="1"/>
  <c r="G54" i="4" s="1"/>
  <c r="E57" i="4"/>
  <c r="F55" i="4" s="1"/>
  <c r="G55" i="4" s="1"/>
  <c r="B57" i="4" s="1"/>
  <c r="D31" i="4"/>
  <c r="F31" i="4" s="1"/>
  <c r="G31" i="4" s="1"/>
  <c r="D38" i="4"/>
  <c r="F38" i="4" s="1"/>
  <c r="G38" i="4" s="1"/>
  <c r="E39" i="4"/>
  <c r="G39" i="4" s="1"/>
  <c r="B41" i="4" s="1"/>
  <c r="E23" i="4"/>
  <c r="G23" i="4" s="1"/>
  <c r="E26" i="4"/>
  <c r="F24" i="4" s="1"/>
  <c r="G24" i="4" s="1"/>
  <c r="B26" i="4" s="1"/>
  <c r="J24" i="1" s="1"/>
  <c r="D24" i="1" s="1"/>
  <c r="C24" i="1" s="1"/>
  <c r="D27" i="7" s="1"/>
  <c r="D26" i="5" l="1"/>
  <c r="B48" i="4" l="1"/>
  <c r="C49" i="4" s="1"/>
  <c r="C46" i="4" l="1"/>
  <c r="E46" i="4" s="1"/>
  <c r="D49" i="4"/>
  <c r="E47" i="4" s="1"/>
  <c r="D46" i="4" l="1"/>
  <c r="F46" i="4" s="1"/>
  <c r="G46" i="4" s="1"/>
  <c r="E49" i="4"/>
  <c r="F47" i="4" s="1"/>
  <c r="G47" i="4" s="1"/>
  <c r="B49" i="4" s="1"/>
  <c r="J16" i="1" s="1"/>
  <c r="D16" i="1" s="1"/>
  <c r="C16" i="1" s="1"/>
  <c r="D23" i="6"/>
  <c r="D27" i="6" s="1"/>
  <c r="D26" i="6" s="1"/>
  <c r="F37" i="6" l="1"/>
  <c r="H37" i="6"/>
  <c r="E37" i="6"/>
  <c r="G37" i="6"/>
  <c r="B37" i="6"/>
  <c r="C37" i="6"/>
  <c r="D37" i="6"/>
  <c r="D29" i="6"/>
  <c r="D30" i="6"/>
  <c r="D31" i="6" s="1"/>
  <c r="D24" i="6"/>
</calcChain>
</file>

<file path=xl/sharedStrings.xml><?xml version="1.0" encoding="utf-8"?>
<sst xmlns="http://schemas.openxmlformats.org/spreadsheetml/2006/main" count="281" uniqueCount="102">
  <si>
    <t>製品Ｗ寸法</t>
    <rPh sb="0" eb="2">
      <t>セイヒン</t>
    </rPh>
    <rPh sb="3" eb="5">
      <t>スンポウ</t>
    </rPh>
    <phoneticPr fontId="1"/>
  </si>
  <si>
    <t>製品Ｈ寸法</t>
    <rPh sb="0" eb="2">
      <t>セイヒン</t>
    </rPh>
    <rPh sb="3" eb="5">
      <t>スンポウ</t>
    </rPh>
    <phoneticPr fontId="1"/>
  </si>
  <si>
    <r>
      <t>換気有効面積(cm</t>
    </r>
    <r>
      <rPr>
        <vertAlign val="superscript"/>
        <sz val="14"/>
        <rFont val="ＭＳ Ｐゴシック"/>
        <family val="3"/>
        <charset val="128"/>
      </rPr>
      <t>2</t>
    </r>
    <r>
      <rPr>
        <sz val="14"/>
        <rFont val="ＭＳ Ｐゴシック"/>
        <family val="3"/>
        <charset val="128"/>
      </rPr>
      <t>)</t>
    </r>
    <rPh sb="0" eb="2">
      <t>カンキ</t>
    </rPh>
    <rPh sb="2" eb="4">
      <t>ユウコウ</t>
    </rPh>
    <rPh sb="4" eb="6">
      <t>メンセキ</t>
    </rPh>
    <phoneticPr fontId="1"/>
  </si>
  <si>
    <r>
      <t>【角型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イッパン</t>
    </rPh>
    <phoneticPr fontId="1"/>
  </si>
  <si>
    <r>
      <t>【角型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8" eb="9">
      <t>ツ</t>
    </rPh>
    <phoneticPr fontId="1"/>
  </si>
  <si>
    <r>
      <t>【角型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rPh sb="1" eb="2">
      <t>カク</t>
    </rPh>
    <rPh sb="2" eb="3">
      <t>ガタ</t>
    </rPh>
    <rPh sb="4" eb="6">
      <t>キオク</t>
    </rPh>
    <rPh sb="6" eb="8">
      <t>ゴウキン</t>
    </rPh>
    <rPh sb="8" eb="9">
      <t>ツ</t>
    </rPh>
    <phoneticPr fontId="1"/>
  </si>
  <si>
    <t>勾配角度</t>
    <rPh sb="0" eb="2">
      <t>コウバイ</t>
    </rPh>
    <rPh sb="2" eb="4">
      <t>カクド</t>
    </rPh>
    <phoneticPr fontId="1"/>
  </si>
  <si>
    <r>
      <t>【五角型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ゴ</t>
    </rPh>
    <rPh sb="2" eb="3">
      <t>カク</t>
    </rPh>
    <rPh sb="3" eb="4">
      <t>ガタ</t>
    </rPh>
    <rPh sb="5" eb="7">
      <t>イッパン</t>
    </rPh>
    <phoneticPr fontId="1"/>
  </si>
  <si>
    <r>
      <t>【五角型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9" eb="10">
      <t>ヅケ</t>
    </rPh>
    <phoneticPr fontId="1"/>
  </si>
  <si>
    <r>
      <t>【片流れ</t>
    </r>
    <r>
      <rPr>
        <sz val="9"/>
        <rFont val="ＭＳ Ｐゴシック"/>
        <family val="3"/>
        <charset val="128"/>
      </rPr>
      <t>（ダンパー付タイプ）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</si>
  <si>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r>
      <t>【片流れ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</si>
  <si>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t>mm</t>
    <phoneticPr fontId="1"/>
  </si>
  <si>
    <r>
      <t>cm</t>
    </r>
    <r>
      <rPr>
        <vertAlign val="superscript"/>
        <sz val="14"/>
        <rFont val="ＭＳ Ｐゴシック"/>
        <family val="3"/>
        <charset val="128"/>
      </rPr>
      <t>2</t>
    </r>
    <phoneticPr fontId="1"/>
  </si>
  <si>
    <t>換気ガラリ　製品面積計算書</t>
    <rPh sb="0" eb="2">
      <t>カンキ</t>
    </rPh>
    <rPh sb="6" eb="8">
      <t>セイヒン</t>
    </rPh>
    <rPh sb="8" eb="10">
      <t>メンセキ</t>
    </rPh>
    <rPh sb="10" eb="12">
      <t>ケイサン</t>
    </rPh>
    <rPh sb="12" eb="13">
      <t>ショ</t>
    </rPh>
    <phoneticPr fontId="1"/>
  </si>
  <si>
    <t>△高さ</t>
    <rPh sb="1" eb="2">
      <t>タカ</t>
    </rPh>
    <phoneticPr fontId="1"/>
  </si>
  <si>
    <t>□高さ</t>
    <rPh sb="1" eb="2">
      <t>タカ</t>
    </rPh>
    <phoneticPr fontId="1"/>
  </si>
  <si>
    <t>△面積</t>
    <rPh sb="1" eb="3">
      <t>メンセキ</t>
    </rPh>
    <phoneticPr fontId="1"/>
  </si>
  <si>
    <t>□面積</t>
    <phoneticPr fontId="1"/>
  </si>
  <si>
    <r>
      <t>【五角型</t>
    </r>
    <r>
      <rPr>
        <sz val="9"/>
        <rFont val="ＭＳ Ｐゴシック"/>
        <family val="3"/>
        <charset val="128"/>
      </rPr>
      <t>（記憶合金付タイプ）</t>
    </r>
    <r>
      <rPr>
        <sz val="14"/>
        <rFont val="ＭＳ Ｐゴシック"/>
        <family val="3"/>
        <charset val="128"/>
      </rPr>
      <t>】</t>
    </r>
    <phoneticPr fontId="1"/>
  </si>
  <si>
    <r>
      <t>【片流れ</t>
    </r>
    <r>
      <rPr>
        <sz val="9"/>
        <rFont val="ＭＳ Ｐゴシック"/>
        <family val="3"/>
        <charset val="128"/>
      </rPr>
      <t>（一般タイプ）</t>
    </r>
    <r>
      <rPr>
        <sz val="14"/>
        <rFont val="ＭＳ Ｐゴシック"/>
        <family val="3"/>
        <charset val="128"/>
      </rPr>
      <t>】</t>
    </r>
    <rPh sb="1" eb="2">
      <t>カタ</t>
    </rPh>
    <rPh sb="2" eb="3">
      <t>ナガ</t>
    </rPh>
    <phoneticPr fontId="1"/>
  </si>
  <si>
    <t>開口率(％)</t>
    <rPh sb="0" eb="1">
      <t>カイ</t>
    </rPh>
    <rPh sb="1" eb="2">
      <t>クチ</t>
    </rPh>
    <rPh sb="2" eb="3">
      <t>リツ</t>
    </rPh>
    <phoneticPr fontId="1"/>
  </si>
  <si>
    <t>mm</t>
    <phoneticPr fontId="1"/>
  </si>
  <si>
    <t>％</t>
    <phoneticPr fontId="1"/>
  </si>
  <si>
    <t>°</t>
    <phoneticPr fontId="1"/>
  </si>
  <si>
    <t>角型換気面積</t>
    <phoneticPr fontId="1"/>
  </si>
  <si>
    <t>角型開口率</t>
    <phoneticPr fontId="1"/>
  </si>
  <si>
    <t>製品面積</t>
    <rPh sb="0" eb="2">
      <t>セイヒン</t>
    </rPh>
    <rPh sb="2" eb="4">
      <t>メンセキ</t>
    </rPh>
    <phoneticPr fontId="1"/>
  </si>
  <si>
    <t>H1</t>
    <phoneticPr fontId="1"/>
  </si>
  <si>
    <t>A</t>
    <phoneticPr fontId="1"/>
  </si>
  <si>
    <t>H2</t>
  </si>
  <si>
    <t>角型換気面積</t>
    <phoneticPr fontId="1"/>
  </si>
  <si>
    <t>角型開口率</t>
    <phoneticPr fontId="1"/>
  </si>
  <si>
    <t>小屋裏快適エコルーバー　通気面積計算シート</t>
    <rPh sb="0" eb="2">
      <t>コヤ</t>
    </rPh>
    <rPh sb="2" eb="3">
      <t>ウラ</t>
    </rPh>
    <rPh sb="3" eb="5">
      <t>カイテキ</t>
    </rPh>
    <rPh sb="12" eb="14">
      <t>ツウキ</t>
    </rPh>
    <rPh sb="14" eb="16">
      <t>メンセキ</t>
    </rPh>
    <rPh sb="16" eb="18">
      <t>ケイサン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</si>
  <si>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</si>
  <si>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</si>
  <si>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通気面積(cm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</t>
    </r>
    <rPh sb="0" eb="2">
      <t>ツウキ</t>
    </rPh>
    <rPh sb="2" eb="4">
      <t>メンセキ</t>
    </rPh>
    <phoneticPr fontId="1"/>
  </si>
  <si>
    <t>K5568</t>
    <phoneticPr fontId="1"/>
  </si>
  <si>
    <t>自然換気シリーズ</t>
    <rPh sb="0" eb="2">
      <t>シゼン</t>
    </rPh>
    <rPh sb="2" eb="4">
      <t>カンキ</t>
    </rPh>
    <phoneticPr fontId="1"/>
  </si>
  <si>
    <t>　抵抗損失曲線 (P-Q)</t>
    <rPh sb="1" eb="3">
      <t>テイコウ</t>
    </rPh>
    <rPh sb="3" eb="5">
      <t>ソンシツ</t>
    </rPh>
    <rPh sb="5" eb="7">
      <t>キョクセン</t>
    </rPh>
    <phoneticPr fontId="1"/>
  </si>
  <si>
    <t>　技術データ　給気</t>
    <rPh sb="1" eb="3">
      <t>ギジュツ</t>
    </rPh>
    <rPh sb="7" eb="8">
      <t>キュウ</t>
    </rPh>
    <rPh sb="8" eb="9">
      <t>キ</t>
    </rPh>
    <phoneticPr fontId="1"/>
  </si>
  <si>
    <t>測定時の状態</t>
    <rPh sb="0" eb="2">
      <t>ソクテイ</t>
    </rPh>
    <rPh sb="2" eb="3">
      <t>ジ</t>
    </rPh>
    <rPh sb="4" eb="6">
      <t>ジョウタイ</t>
    </rPh>
    <phoneticPr fontId="1"/>
  </si>
  <si>
    <t>屋内温度</t>
    <rPh sb="0" eb="2">
      <t>オクナイ</t>
    </rPh>
    <rPh sb="2" eb="4">
      <t>オンド</t>
    </rPh>
    <phoneticPr fontId="1"/>
  </si>
  <si>
    <t>℃</t>
    <phoneticPr fontId="1"/>
  </si>
  <si>
    <t>屋外温度</t>
    <rPh sb="0" eb="1">
      <t>オクナイ</t>
    </rPh>
    <rPh sb="1" eb="2">
      <t>ガイ</t>
    </rPh>
    <rPh sb="2" eb="4">
      <t>オンド</t>
    </rPh>
    <phoneticPr fontId="1"/>
  </si>
  <si>
    <t>℃</t>
    <phoneticPr fontId="1"/>
  </si>
  <si>
    <t>　製品寸法</t>
    <rPh sb="1" eb="3">
      <t>セイヒン</t>
    </rPh>
    <rPh sb="3" eb="5">
      <t>スンポウ</t>
    </rPh>
    <phoneticPr fontId="1"/>
  </si>
  <si>
    <t>　通気面積</t>
    <rPh sb="1" eb="3">
      <t>ツウキ</t>
    </rPh>
    <rPh sb="3" eb="5">
      <t>メンセキ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</si>
  <si>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</si>
  <si>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</si>
  <si>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開口率</t>
    <rPh sb="1" eb="3">
      <t>カイコウ</t>
    </rPh>
    <rPh sb="3" eb="4">
      <t>リツ</t>
    </rPh>
    <phoneticPr fontId="1"/>
  </si>
  <si>
    <t>％</t>
    <phoneticPr fontId="1"/>
  </si>
  <si>
    <t xml:space="preserve">　隙間特性値 </t>
    <rPh sb="1" eb="3">
      <t>スキマ</t>
    </rPh>
    <rPh sb="3" eb="5">
      <t>トクセイ</t>
    </rPh>
    <rPh sb="5" eb="6">
      <t>チ</t>
    </rPh>
    <phoneticPr fontId="1"/>
  </si>
  <si>
    <t>ｎ＝</t>
    <phoneticPr fontId="1"/>
  </si>
  <si>
    <t>　⊿Ｐ＝９．８Ｐａにおける通気量</t>
    <rPh sb="13" eb="15">
      <t>ツウキ</t>
    </rPh>
    <rPh sb="15" eb="16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</si>
  <si>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</si>
  <si>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1"/>
  </si>
  <si>
    <t>　有効開口面積</t>
    <rPh sb="1" eb="3">
      <t>ユウコウ</t>
    </rPh>
    <rPh sb="3" eb="5">
      <t>カイコウ</t>
    </rPh>
    <rPh sb="5" eb="7">
      <t>メンセキ</t>
    </rPh>
    <phoneticPr fontId="1"/>
  </si>
  <si>
    <t>αＡ＝</t>
    <phoneticPr fontId="1"/>
  </si>
  <si>
    <r>
      <t>ｃｍ</t>
    </r>
    <r>
      <rPr>
        <vertAlign val="superscript"/>
        <sz val="11"/>
        <rFont val="ＭＳ Ｐ明朝"/>
        <family val="1"/>
        <charset val="128"/>
      </rPr>
      <t>2</t>
    </r>
    <phoneticPr fontId="1"/>
  </si>
  <si>
    <t>　流量係数</t>
    <rPh sb="1" eb="3">
      <t>リュウリョウ</t>
    </rPh>
    <rPh sb="3" eb="5">
      <t>ケイスウ</t>
    </rPh>
    <phoneticPr fontId="1"/>
  </si>
  <si>
    <t>α＝</t>
    <phoneticPr fontId="1"/>
  </si>
  <si>
    <t>　通気量</t>
    <rPh sb="1" eb="3">
      <t>ツウキ</t>
    </rPh>
    <rPh sb="3" eb="4">
      <t>リョウ</t>
    </rPh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</si>
  <si>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</si>
  <si>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</si>
  <si>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1"/>
  </si>
  <si>
    <t>　⊿Ｐ＝９．８Ｐａにおける相当風速</t>
    <rPh sb="13" eb="15">
      <t>ソウトウ</t>
    </rPh>
    <rPh sb="15" eb="17">
      <t>フウソク</t>
    </rPh>
    <phoneticPr fontId="1"/>
  </si>
  <si>
    <t>Ｖ=</t>
    <phoneticPr fontId="1"/>
  </si>
  <si>
    <t>m/s</t>
    <phoneticPr fontId="1"/>
  </si>
  <si>
    <t>　圧力損失係数</t>
    <rPh sb="1" eb="3">
      <t>アツリョク</t>
    </rPh>
    <rPh sb="3" eb="5">
      <t>ソンシツ</t>
    </rPh>
    <rPh sb="5" eb="7">
      <t>ケイスウ</t>
    </rPh>
    <phoneticPr fontId="1"/>
  </si>
  <si>
    <t>ζ=</t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</si>
  <si>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</si>
  <si>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PQ-SV042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</si>
  <si>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</si>
  <si>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小屋裏エコルーバー　四角形（固定）</t>
    <rPh sb="0" eb="3">
      <t>コヤウラ</t>
    </rPh>
    <rPh sb="10" eb="12">
      <t>シカク</t>
    </rPh>
    <rPh sb="12" eb="13">
      <t>ケイ</t>
    </rPh>
    <rPh sb="14" eb="16">
      <t>コテイ</t>
    </rPh>
    <phoneticPr fontId="1"/>
  </si>
  <si>
    <t>　勾配角度</t>
    <rPh sb="1" eb="3">
      <t>コウバイ</t>
    </rPh>
    <rPh sb="3" eb="5">
      <t>カクド</t>
    </rPh>
    <phoneticPr fontId="1"/>
  </si>
  <si>
    <t>W</t>
    <phoneticPr fontId="1"/>
  </si>
  <si>
    <t>×   H</t>
    <phoneticPr fontId="1"/>
  </si>
  <si>
    <t>小屋裏エコルーバー　片流れ（固定）</t>
    <rPh sb="0" eb="3">
      <t>コヤウラ</t>
    </rPh>
    <rPh sb="10" eb="12">
      <t>カタナガ</t>
    </rPh>
    <rPh sb="14" eb="16">
      <t>コテイ</t>
    </rPh>
    <phoneticPr fontId="1"/>
  </si>
  <si>
    <t>四角形（固定）</t>
    <rPh sb="0" eb="2">
      <t>シカク</t>
    </rPh>
    <rPh sb="2" eb="3">
      <t>ケイ</t>
    </rPh>
    <rPh sb="4" eb="6">
      <t>コテイ</t>
    </rPh>
    <phoneticPr fontId="1"/>
  </si>
  <si>
    <t>五角形（固定）</t>
    <rPh sb="0" eb="3">
      <t>ゴカッケイ</t>
    </rPh>
    <rPh sb="4" eb="6">
      <t>コテイ</t>
    </rPh>
    <phoneticPr fontId="1"/>
  </si>
  <si>
    <t>片流れ（固定）</t>
    <rPh sb="0" eb="1">
      <t>カタ</t>
    </rPh>
    <rPh sb="1" eb="2">
      <t>ナガ</t>
    </rPh>
    <rPh sb="4" eb="6">
      <t>コテイ</t>
    </rPh>
    <phoneticPr fontId="1"/>
  </si>
  <si>
    <t>圧力差 ⊿P  (Ｐａ)</t>
    <rPh sb="0" eb="2">
      <t>アツリョク</t>
    </rPh>
    <rPh sb="2" eb="3">
      <t>サ</t>
    </rPh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</si>
  <si>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</si>
  <si>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</si>
  <si>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</si>
  <si>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</si>
  <si>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PQ-SV042</t>
    <phoneticPr fontId="1"/>
  </si>
  <si>
    <r>
      <t>計算通気量Q（m</t>
    </r>
    <r>
      <rPr>
        <vertAlign val="superscript"/>
        <sz val="11"/>
        <color theme="0"/>
        <rFont val="ＭＳ Ｐ明朝"/>
        <family val="1"/>
        <charset val="128"/>
      </rPr>
      <t>3</t>
    </r>
    <r>
      <rPr>
        <sz val="11"/>
        <color theme="0"/>
        <rFont val="ＭＳ Ｐ明朝"/>
        <family val="1"/>
        <charset val="128"/>
      </rPr>
      <t>/hr）</t>
    </r>
    <rPh sb="0" eb="2">
      <t>ケイサン</t>
    </rPh>
    <rPh sb="2" eb="4">
      <t>ツウキ</t>
    </rPh>
    <rPh sb="4" eb="5">
      <t>リョウ</t>
    </rPh>
    <phoneticPr fontId="1"/>
  </si>
  <si>
    <t>自然換気シリーズ</t>
    <phoneticPr fontId="1"/>
  </si>
  <si>
    <t>小屋裏排熱エコルーバー　五角形（固定式）</t>
    <rPh sb="0" eb="3">
      <t>コヤウラ</t>
    </rPh>
    <rPh sb="3" eb="5">
      <t>ハイネツ</t>
    </rPh>
    <rPh sb="12" eb="13">
      <t>ゴ</t>
    </rPh>
    <rPh sb="13" eb="15">
      <t>カッケイ</t>
    </rPh>
    <rPh sb="14" eb="15">
      <t>ケイ</t>
    </rPh>
    <rPh sb="16" eb="18">
      <t>コテイ</t>
    </rPh>
    <rPh sb="18" eb="19">
      <t>シキ</t>
    </rPh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</si>
  <si>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</si>
  <si>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</si>
  <si>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</si>
  <si>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商品寸法</t>
    <rPh sb="0" eb="4">
      <t>ショウヒンスンポウ</t>
    </rPh>
    <phoneticPr fontId="1"/>
  </si>
  <si>
    <t>通気面積</t>
    <rPh sb="0" eb="2">
      <t>ツウキ</t>
    </rPh>
    <rPh sb="2" eb="4">
      <t>メンセキ</t>
    </rPh>
    <phoneticPr fontId="1"/>
  </si>
  <si>
    <t>開口率</t>
    <rPh sb="0" eb="2">
      <t>カイコウ</t>
    </rPh>
    <rPh sb="2" eb="3">
      <t>リツ</t>
    </rPh>
    <phoneticPr fontId="1"/>
  </si>
  <si>
    <t>W</t>
    <phoneticPr fontId="1"/>
  </si>
  <si>
    <t xml:space="preserve">× </t>
    <phoneticPr fontId="1"/>
  </si>
  <si>
    <t>H</t>
    <phoneticPr fontId="1"/>
  </si>
  <si>
    <t>％</t>
    <phoneticPr fontId="1"/>
  </si>
  <si>
    <t>PQ-SV042 K5568V-固定式</t>
    <rPh sb="16" eb="19">
      <t>コテイシキ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</si>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</sst>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"/>
    <numFmt numFmtId="177" formatCode="0.00_ "/>
    <numFmt numFmtId="178" formatCode="0_ "/>
    <numFmt numFmtId="179" formatCode="0.0"/>
    <numFmt numFmtId="180" formatCode="#,##0.0;[Red]\-#,##0.0"/>
    <numFmt numFmtId="181" formatCode="0.000"/>
    <numFmt numFmtId="182" formatCode="#,###&quot;度&quot;"/>
  </numFmts>
  <fonts count="3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22"/>
      <name val="明朝"/>
      <family val="1"/>
      <charset val="128"/>
    </font>
    <font>
      <sz val="12"/>
      <name val="ＭＳ Ｐゴシック"/>
      <family val="3"/>
      <charset val="128"/>
    </font>
    <font>
      <sz val="14"/>
      <color indexed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vertAlign val="superscript"/>
      <sz val="11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n">
        <color indexed="64"/>
      </bottom>
      <diagonal/>
    </border>
    <border>
      <left style="thin">
        <color indexed="64"/>
      </left>
      <right/>
      <top style="thick">
        <color indexed="12"/>
      </top>
      <bottom style="thin">
        <color indexed="64"/>
      </bottom>
      <diagonal/>
    </border>
    <border>
      <left/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ck">
        <color indexed="12"/>
      </bottom>
      <diagonal/>
    </border>
    <border>
      <left/>
      <right/>
      <top style="thick">
        <color indexed="12"/>
      </top>
      <bottom/>
      <diagonal/>
    </border>
    <border>
      <left/>
      <right/>
      <top style="thin">
        <color indexed="64"/>
      </top>
      <bottom style="thick">
        <color indexed="12"/>
      </bottom>
      <diagonal/>
    </border>
    <border>
      <left/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9" xfId="0" applyFont="1" applyBorder="1" applyProtection="1">
      <alignment vertical="center"/>
      <protection locked="0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10" xfId="0" applyFont="1" applyBorder="1">
      <alignment vertical="center"/>
    </xf>
    <xf numFmtId="0" fontId="0" fillId="0" borderId="20" xfId="0" applyFont="1" applyBorder="1" applyProtection="1">
      <alignment vertical="center"/>
      <protection locked="0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Font="1" applyBorder="1">
      <alignment vertical="center"/>
    </xf>
    <xf numFmtId="0" fontId="0" fillId="0" borderId="1" xfId="0" applyFont="1" applyBorder="1">
      <alignment vertical="center"/>
    </xf>
    <xf numFmtId="0" fontId="10" fillId="0" borderId="9" xfId="0" applyFont="1" applyBorder="1">
      <alignment vertical="center"/>
    </xf>
    <xf numFmtId="0" fontId="0" fillId="0" borderId="15" xfId="0" applyFont="1" applyBorder="1">
      <alignment vertical="center"/>
    </xf>
    <xf numFmtId="0" fontId="0" fillId="0" borderId="22" xfId="0" applyFont="1" applyBorder="1" applyAlignment="1">
      <alignment horizontal="right" vertical="center"/>
    </xf>
    <xf numFmtId="176" fontId="10" fillId="0" borderId="2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6" xfId="0" applyNumberFormat="1" applyFont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176" fontId="10" fillId="0" borderId="9" xfId="0" applyNumberFormat="1" applyFont="1" applyBorder="1">
      <alignment vertical="center"/>
    </xf>
    <xf numFmtId="176" fontId="12" fillId="0" borderId="22" xfId="0" applyNumberFormat="1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/>
    </xf>
    <xf numFmtId="0" fontId="0" fillId="0" borderId="21" xfId="0" applyFont="1" applyBorder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76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77" fontId="0" fillId="0" borderId="15" xfId="0" applyNumberFormat="1" applyFont="1" applyBorder="1">
      <alignment vertical="center"/>
    </xf>
    <xf numFmtId="0" fontId="13" fillId="0" borderId="22" xfId="0" applyFont="1" applyBorder="1">
      <alignment vertical="center"/>
    </xf>
    <xf numFmtId="176" fontId="13" fillId="0" borderId="6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178" fontId="13" fillId="0" borderId="22" xfId="0" applyNumberFormat="1" applyFont="1" applyBorder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27" xfId="0" applyFont="1" applyFill="1" applyBorder="1" applyAlignment="1" applyProtection="1">
      <alignment horizontal="left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9" fontId="17" fillId="0" borderId="29" xfId="0" applyNumberFormat="1" applyFont="1" applyFill="1" applyBorder="1" applyAlignment="1">
      <alignment horizontal="center" vertical="center"/>
    </xf>
    <xf numFmtId="0" fontId="0" fillId="0" borderId="29" xfId="0" applyFill="1" applyBorder="1" applyAlignment="1"/>
    <xf numFmtId="0" fontId="17" fillId="0" borderId="30" xfId="0" applyFont="1" applyFill="1" applyBorder="1" applyAlignment="1">
      <alignment horizontal="left" vertical="center"/>
    </xf>
    <xf numFmtId="0" fontId="0" fillId="0" borderId="29" xfId="0" applyFill="1" applyBorder="1" applyAlignment="1">
      <alignment vertical="center"/>
    </xf>
    <xf numFmtId="0" fontId="17" fillId="0" borderId="32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7" fillId="0" borderId="33" xfId="0" applyFont="1" applyFill="1" applyBorder="1" applyAlignment="1">
      <alignment horizontal="right" vertical="center"/>
    </xf>
    <xf numFmtId="0" fontId="17" fillId="0" borderId="31" xfId="0" applyFont="1" applyFill="1" applyBorder="1" applyAlignment="1">
      <alignment vertical="center"/>
    </xf>
    <xf numFmtId="0" fontId="19" fillId="0" borderId="29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vertical="center"/>
    </xf>
    <xf numFmtId="180" fontId="17" fillId="0" borderId="29" xfId="1" applyNumberFormat="1" applyFont="1" applyFill="1" applyBorder="1" applyAlignment="1">
      <alignment vertical="center"/>
    </xf>
    <xf numFmtId="0" fontId="17" fillId="0" borderId="29" xfId="0" applyNumberFormat="1" applyFont="1" applyFill="1" applyBorder="1" applyAlignment="1">
      <alignment horizontal="center" vertical="center"/>
    </xf>
    <xf numFmtId="181" fontId="17" fillId="0" borderId="30" xfId="0" applyNumberFormat="1" applyFont="1" applyFill="1" applyBorder="1" applyAlignment="1">
      <alignment vertical="center"/>
    </xf>
    <xf numFmtId="0" fontId="17" fillId="0" borderId="35" xfId="0" applyFont="1" applyFill="1" applyBorder="1" applyAlignment="1">
      <alignment vertical="center"/>
    </xf>
    <xf numFmtId="0" fontId="19" fillId="0" borderId="36" xfId="0" applyFont="1" applyFill="1" applyBorder="1" applyAlignment="1">
      <alignment vertical="center"/>
    </xf>
    <xf numFmtId="0" fontId="17" fillId="0" borderId="37" xfId="0" applyFont="1" applyFill="1" applyBorder="1" applyAlignment="1">
      <alignment horizontal="right" vertical="center"/>
    </xf>
    <xf numFmtId="0" fontId="19" fillId="0" borderId="6" xfId="0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21" fillId="0" borderId="36" xfId="0" applyNumberFormat="1" applyFont="1" applyFill="1" applyBorder="1" applyAlignment="1">
      <alignment horizontal="centerContinuous" vertical="center"/>
    </xf>
    <xf numFmtId="0" fontId="19" fillId="0" borderId="36" xfId="0" applyNumberFormat="1" applyFont="1" applyFill="1" applyBorder="1" applyAlignment="1">
      <alignment horizontal="centerContinuous" vertical="center"/>
    </xf>
    <xf numFmtId="181" fontId="19" fillId="0" borderId="38" xfId="0" applyNumberFormat="1" applyFont="1" applyFill="1" applyBorder="1" applyAlignment="1">
      <alignment vertical="center"/>
    </xf>
    <xf numFmtId="0" fontId="14" fillId="0" borderId="0" xfId="0" applyFont="1" applyFill="1" applyAlignment="1" applyProtection="1">
      <alignment horizontal="left" vertical="center"/>
    </xf>
    <xf numFmtId="38" fontId="0" fillId="0" borderId="20" xfId="0" applyNumberFormat="1" applyFont="1" applyBorder="1" applyProtection="1">
      <alignment vertical="center"/>
      <protection locked="0"/>
    </xf>
    <xf numFmtId="176" fontId="24" fillId="0" borderId="29" xfId="0" applyNumberFormat="1" applyFont="1" applyFill="1" applyBorder="1" applyAlignment="1">
      <alignment vertical="center"/>
    </xf>
    <xf numFmtId="0" fontId="24" fillId="0" borderId="29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horizontal="right" vertical="center"/>
    </xf>
    <xf numFmtId="0" fontId="0" fillId="0" borderId="31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180" fontId="0" fillId="0" borderId="29" xfId="1" applyNumberFormat="1" applyFont="1" applyFill="1" applyBorder="1" applyAlignment="1">
      <alignment vertical="center"/>
    </xf>
    <xf numFmtId="0" fontId="0" fillId="0" borderId="29" xfId="0" applyNumberFormat="1" applyFont="1" applyFill="1" applyBorder="1" applyAlignment="1">
      <alignment horizontal="center" vertical="center"/>
    </xf>
    <xf numFmtId="0" fontId="0" fillId="0" borderId="29" xfId="0" applyNumberFormat="1" applyFont="1" applyFill="1" applyBorder="1" applyAlignment="1">
      <alignment vertical="center"/>
    </xf>
    <xf numFmtId="0" fontId="0" fillId="0" borderId="35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0" fillId="0" borderId="37" xfId="0" applyFont="1" applyFill="1" applyBorder="1" applyAlignment="1">
      <alignment horizontal="right" vertical="center"/>
    </xf>
    <xf numFmtId="179" fontId="0" fillId="0" borderId="36" xfId="0" applyNumberFormat="1" applyFont="1" applyFill="1" applyBorder="1" applyAlignment="1">
      <alignment vertical="center"/>
    </xf>
    <xf numFmtId="0" fontId="0" fillId="0" borderId="36" xfId="0" applyNumberFormat="1" applyFont="1" applyFill="1" applyBorder="1" applyAlignment="1">
      <alignment horizontal="centerContinuous" vertical="center"/>
    </xf>
    <xf numFmtId="0" fontId="3" fillId="0" borderId="36" xfId="0" applyNumberFormat="1" applyFont="1" applyFill="1" applyBorder="1" applyAlignment="1">
      <alignment horizontal="left" vertical="center"/>
    </xf>
    <xf numFmtId="0" fontId="11" fillId="0" borderId="36" xfId="0" applyNumberFormat="1" applyFont="1" applyFill="1" applyBorder="1" applyAlignment="1">
      <alignment horizontal="left" vertical="center"/>
    </xf>
    <xf numFmtId="181" fontId="0" fillId="0" borderId="38" xfId="0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horizontal="centerContinuous" vertical="center"/>
    </xf>
    <xf numFmtId="0" fontId="8" fillId="0" borderId="6" xfId="0" applyNumberFormat="1" applyFont="1" applyFill="1" applyBorder="1" applyAlignment="1">
      <alignment horizontal="centerContinuous" vertical="center"/>
    </xf>
    <xf numFmtId="181" fontId="8" fillId="0" borderId="34" xfId="0" applyNumberFormat="1" applyFont="1" applyFill="1" applyBorder="1" applyAlignment="1">
      <alignment vertical="center"/>
    </xf>
    <xf numFmtId="0" fontId="0" fillId="0" borderId="36" xfId="0" applyFont="1" applyFill="1" applyBorder="1" applyAlignment="1">
      <alignment vertical="center"/>
    </xf>
    <xf numFmtId="0" fontId="2" fillId="0" borderId="36" xfId="0" applyNumberFormat="1" applyFont="1" applyFill="1" applyBorder="1" applyAlignment="1">
      <alignment horizontal="centerContinuous" vertical="center"/>
    </xf>
    <xf numFmtId="0" fontId="8" fillId="0" borderId="36" xfId="0" applyNumberFormat="1" applyFont="1" applyFill="1" applyBorder="1" applyAlignment="1">
      <alignment horizontal="centerContinuous" vertical="center"/>
    </xf>
    <xf numFmtId="181" fontId="8" fillId="0" borderId="38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Continuous" vertical="center"/>
    </xf>
    <xf numFmtId="0" fontId="19" fillId="0" borderId="0" xfId="0" applyNumberFormat="1" applyFont="1" applyFill="1" applyBorder="1" applyAlignment="1">
      <alignment horizontal="centerContinuous" vertical="center"/>
    </xf>
    <xf numFmtId="181" fontId="19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centerContinuous" vertical="center"/>
    </xf>
    <xf numFmtId="0" fontId="8" fillId="0" borderId="0" xfId="0" applyNumberFormat="1" applyFont="1" applyFill="1" applyBorder="1" applyAlignment="1">
      <alignment horizontal="centerContinuous" vertical="center"/>
    </xf>
    <xf numFmtId="181" fontId="8" fillId="0" borderId="0" xfId="0" applyNumberFormat="1" applyFont="1" applyFill="1" applyBorder="1" applyAlignment="1">
      <alignment vertical="center"/>
    </xf>
    <xf numFmtId="0" fontId="17" fillId="0" borderId="39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179" fontId="1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7" fillId="0" borderId="42" xfId="0" applyFont="1" applyFill="1" applyBorder="1" applyAlignment="1">
      <alignment horizontal="left" vertical="center"/>
    </xf>
    <xf numFmtId="0" fontId="0" fillId="0" borderId="43" xfId="0" applyFont="1" applyFill="1" applyBorder="1" applyAlignment="1">
      <alignment horizontal="left" vertical="center"/>
    </xf>
    <xf numFmtId="0" fontId="0" fillId="0" borderId="44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right" vertical="center"/>
    </xf>
    <xf numFmtId="0" fontId="24" fillId="0" borderId="46" xfId="0" applyFont="1" applyFill="1" applyBorder="1" applyAlignment="1">
      <alignment horizontal="right" vertical="center"/>
    </xf>
    <xf numFmtId="0" fontId="0" fillId="0" borderId="46" xfId="0" applyFont="1" applyFill="1" applyBorder="1" applyAlignment="1">
      <alignment vertical="center"/>
    </xf>
    <xf numFmtId="0" fontId="0" fillId="0" borderId="47" xfId="0" applyFont="1" applyFill="1" applyBorder="1" applyAlignment="1">
      <alignment horizontal="left" vertical="center"/>
    </xf>
    <xf numFmtId="0" fontId="17" fillId="0" borderId="43" xfId="0" applyFont="1" applyFill="1" applyBorder="1" applyAlignment="1">
      <alignment horizontal="left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right" vertical="center"/>
    </xf>
    <xf numFmtId="0" fontId="0" fillId="0" borderId="46" xfId="0" applyFill="1" applyBorder="1" applyAlignment="1">
      <alignment vertical="center"/>
    </xf>
    <xf numFmtId="0" fontId="17" fillId="0" borderId="47" xfId="0" applyFont="1" applyFill="1" applyBorder="1" applyAlignment="1">
      <alignment horizontal="left" vertical="center"/>
    </xf>
    <xf numFmtId="179" fontId="24" fillId="3" borderId="46" xfId="0" applyNumberFormat="1" applyFont="1" applyFill="1" applyBorder="1" applyAlignment="1" applyProtection="1">
      <alignment horizontal="center" vertical="center"/>
      <protection locked="0"/>
    </xf>
    <xf numFmtId="176" fontId="24" fillId="3" borderId="46" xfId="0" applyNumberFormat="1" applyFont="1" applyFill="1" applyBorder="1" applyAlignment="1" applyProtection="1">
      <alignment vertical="center"/>
      <protection locked="0"/>
    </xf>
    <xf numFmtId="179" fontId="23" fillId="3" borderId="46" xfId="0" applyNumberFormat="1" applyFont="1" applyFill="1" applyBorder="1" applyAlignment="1" applyProtection="1">
      <alignment horizontal="center" vertical="center"/>
      <protection locked="0"/>
    </xf>
    <xf numFmtId="182" fontId="23" fillId="3" borderId="29" xfId="1" applyNumberFormat="1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 applyProtection="1">
      <alignment horizontal="center" vertical="center"/>
    </xf>
    <xf numFmtId="0" fontId="26" fillId="4" borderId="0" xfId="0" applyFont="1" applyFill="1" applyBorder="1" applyAlignment="1">
      <alignment vertical="center"/>
    </xf>
    <xf numFmtId="38" fontId="26" fillId="4" borderId="0" xfId="1" applyFont="1" applyFill="1" applyBorder="1" applyAlignment="1">
      <alignment vertical="center"/>
    </xf>
    <xf numFmtId="38" fontId="27" fillId="4" borderId="0" xfId="1" applyFont="1" applyFill="1" applyBorder="1" applyAlignment="1">
      <alignment vertical="center"/>
    </xf>
    <xf numFmtId="176" fontId="27" fillId="4" borderId="0" xfId="0" applyNumberFormat="1" applyFont="1" applyFill="1" applyBorder="1" applyAlignment="1">
      <alignment vertical="center"/>
    </xf>
    <xf numFmtId="0" fontId="25" fillId="4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horizontal="center" vertical="center"/>
    </xf>
    <xf numFmtId="181" fontId="0" fillId="0" borderId="34" xfId="0" applyNumberFormat="1" applyFont="1" applyFill="1" applyBorder="1" applyAlignment="1">
      <alignment vertical="center"/>
    </xf>
    <xf numFmtId="0" fontId="0" fillId="0" borderId="30" xfId="0" applyFont="1" applyFill="1" applyBorder="1" applyAlignment="1">
      <alignment horizontal="left" vertical="center"/>
    </xf>
    <xf numFmtId="180" fontId="0" fillId="0" borderId="36" xfId="1" applyNumberFormat="1" applyFont="1" applyFill="1" applyBorder="1" applyAlignment="1">
      <alignment vertical="center"/>
    </xf>
    <xf numFmtId="0" fontId="0" fillId="0" borderId="36" xfId="0" applyNumberFormat="1" applyFont="1" applyFill="1" applyBorder="1" applyAlignment="1">
      <alignment horizontal="center" vertical="center"/>
    </xf>
    <xf numFmtId="179" fontId="0" fillId="0" borderId="38" xfId="0" applyNumberFormat="1" applyFont="1" applyFill="1" applyBorder="1" applyAlignment="1">
      <alignment vertical="center"/>
    </xf>
    <xf numFmtId="181" fontId="17" fillId="0" borderId="34" xfId="0" applyNumberFormat="1" applyFont="1" applyFill="1" applyBorder="1" applyAlignment="1">
      <alignment vertical="center"/>
    </xf>
    <xf numFmtId="0" fontId="17" fillId="0" borderId="31" xfId="0" applyFont="1" applyFill="1" applyBorder="1" applyAlignment="1">
      <alignment horizontal="left" vertical="center"/>
    </xf>
    <xf numFmtId="0" fontId="17" fillId="0" borderId="29" xfId="0" applyFont="1" applyFill="1" applyBorder="1" applyAlignment="1">
      <alignment horizontal="center" vertical="center"/>
    </xf>
    <xf numFmtId="180" fontId="17" fillId="0" borderId="36" xfId="1" applyNumberFormat="1" applyFont="1" applyFill="1" applyBorder="1" applyAlignment="1">
      <alignment vertical="center"/>
    </xf>
    <xf numFmtId="0" fontId="17" fillId="0" borderId="36" xfId="0" applyNumberFormat="1" applyFont="1" applyFill="1" applyBorder="1" applyAlignment="1">
      <alignment horizontal="center" vertical="center"/>
    </xf>
    <xf numFmtId="179" fontId="17" fillId="0" borderId="38" xfId="0" applyNumberFormat="1" applyFont="1" applyFill="1" applyBorder="1" applyAlignment="1">
      <alignment vertical="center"/>
    </xf>
    <xf numFmtId="179" fontId="17" fillId="0" borderId="29" xfId="0" applyNumberFormat="1" applyFont="1" applyFill="1" applyBorder="1" applyAlignment="1">
      <alignment vertical="center"/>
    </xf>
    <xf numFmtId="0" fontId="17" fillId="0" borderId="29" xfId="0" applyNumberFormat="1" applyFont="1" applyFill="1" applyBorder="1" applyAlignment="1">
      <alignment horizontal="centerContinuous" vertical="center"/>
    </xf>
    <xf numFmtId="0" fontId="20" fillId="0" borderId="29" xfId="0" applyNumberFormat="1" applyFont="1" applyFill="1" applyBorder="1" applyAlignment="1">
      <alignment horizontal="left" vertical="center"/>
    </xf>
    <xf numFmtId="0" fontId="18" fillId="0" borderId="29" xfId="0" applyNumberFormat="1" applyFont="1" applyFill="1" applyBorder="1" applyAlignment="1">
      <alignment horizontal="left" vertical="center"/>
    </xf>
    <xf numFmtId="0" fontId="17" fillId="0" borderId="29" xfId="0" applyFont="1" applyFill="1" applyBorder="1" applyAlignment="1">
      <alignment vertical="center"/>
    </xf>
    <xf numFmtId="0" fontId="21" fillId="0" borderId="29" xfId="0" applyNumberFormat="1" applyFont="1" applyFill="1" applyBorder="1" applyAlignment="1">
      <alignment horizontal="centerContinuous" vertical="center"/>
    </xf>
    <xf numFmtId="0" fontId="19" fillId="0" borderId="29" xfId="0" applyNumberFormat="1" applyFont="1" applyFill="1" applyBorder="1" applyAlignment="1">
      <alignment horizontal="centerContinuous" vertical="center"/>
    </xf>
    <xf numFmtId="181" fontId="19" fillId="0" borderId="30" xfId="0" applyNumberFormat="1" applyFont="1" applyFill="1" applyBorder="1" applyAlignment="1">
      <alignment vertical="center"/>
    </xf>
    <xf numFmtId="0" fontId="17" fillId="0" borderId="34" xfId="0" applyFont="1" applyFill="1" applyBorder="1" applyAlignment="1">
      <alignment vertical="center"/>
    </xf>
    <xf numFmtId="0" fontId="17" fillId="0" borderId="38" xfId="0" applyFont="1" applyFill="1" applyBorder="1" applyAlignment="1">
      <alignment horizontal="left" vertical="center"/>
    </xf>
    <xf numFmtId="0" fontId="0" fillId="0" borderId="45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179" fontId="0" fillId="0" borderId="29" xfId="0" applyNumberFormat="1" applyFont="1" applyBorder="1" applyAlignment="1" applyProtection="1">
      <alignment horizontal="right" vertical="center"/>
      <protection hidden="1"/>
    </xf>
    <xf numFmtId="176" fontId="24" fillId="3" borderId="46" xfId="0" applyNumberFormat="1" applyFont="1" applyFill="1" applyBorder="1" applyAlignment="1" applyProtection="1">
      <alignment horizontal="right" vertical="center"/>
      <protection locked="0"/>
    </xf>
    <xf numFmtId="179" fontId="24" fillId="3" borderId="46" xfId="0" applyNumberFormat="1" applyFont="1" applyFill="1" applyBorder="1" applyAlignment="1" applyProtection="1">
      <alignment horizontal="right" vertical="center"/>
      <protection locked="0"/>
    </xf>
    <xf numFmtId="182" fontId="24" fillId="3" borderId="29" xfId="1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center"/>
      <protection hidden="1"/>
    </xf>
    <xf numFmtId="0" fontId="16" fillId="0" borderId="27" xfId="0" applyFont="1" applyFill="1" applyBorder="1" applyAlignment="1" applyProtection="1">
      <alignment horizontal="left" vertical="center"/>
      <protection hidden="1"/>
    </xf>
    <xf numFmtId="0" fontId="17" fillId="0" borderId="28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179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Fill="1" applyBorder="1" applyAlignment="1" applyProtection="1">
      <protection hidden="1"/>
    </xf>
    <xf numFmtId="0" fontId="17" fillId="0" borderId="30" xfId="0" applyFont="1" applyFill="1" applyBorder="1" applyAlignment="1" applyProtection="1">
      <alignment horizontal="left" vertical="center"/>
      <protection hidden="1"/>
    </xf>
    <xf numFmtId="0" fontId="17" fillId="0" borderId="39" xfId="0" applyFont="1" applyFill="1" applyBorder="1" applyAlignment="1" applyProtection="1">
      <alignment horizontal="center" vertical="center"/>
      <protection hidden="1"/>
    </xf>
    <xf numFmtId="0" fontId="17" fillId="0" borderId="40" xfId="0" applyFont="1" applyFill="1" applyBorder="1" applyAlignment="1" applyProtection="1">
      <alignment horizontal="center" vertical="center"/>
      <protection hidden="1"/>
    </xf>
    <xf numFmtId="0" fontId="17" fillId="0" borderId="41" xfId="0" applyFont="1" applyFill="1" applyBorder="1" applyAlignment="1" applyProtection="1">
      <alignment horizontal="center" vertical="center"/>
      <protection hidden="1"/>
    </xf>
    <xf numFmtId="179" fontId="17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protection hidden="1"/>
    </xf>
    <xf numFmtId="0" fontId="17" fillId="0" borderId="42" xfId="0" applyFont="1" applyFill="1" applyBorder="1" applyAlignment="1" applyProtection="1">
      <alignment horizontal="left" vertical="center"/>
      <protection hidden="1"/>
    </xf>
    <xf numFmtId="0" fontId="24" fillId="0" borderId="46" xfId="0" applyFont="1" applyFill="1" applyBorder="1" applyAlignment="1" applyProtection="1">
      <alignment horizontal="right" vertical="center"/>
      <protection hidden="1"/>
    </xf>
    <xf numFmtId="38" fontId="24" fillId="0" borderId="29" xfId="1" applyFont="1" applyFill="1" applyBorder="1" applyAlignment="1" applyProtection="1">
      <alignment horizontal="right" vertical="center"/>
      <protection hidden="1"/>
    </xf>
    <xf numFmtId="0" fontId="17" fillId="0" borderId="47" xfId="0" applyFont="1" applyFill="1" applyBorder="1" applyAlignment="1" applyProtection="1">
      <alignment horizontal="left" vertical="center"/>
      <protection hidden="1"/>
    </xf>
    <xf numFmtId="0" fontId="17" fillId="0" borderId="33" xfId="0" applyFont="1" applyFill="1" applyBorder="1" applyAlignment="1" applyProtection="1">
      <alignment horizontal="center" vertical="center"/>
      <protection hidden="1"/>
    </xf>
    <xf numFmtId="0" fontId="24" fillId="0" borderId="29" xfId="0" applyFont="1" applyFill="1" applyBorder="1" applyAlignment="1" applyProtection="1">
      <alignment horizontal="right" vertical="center"/>
      <protection hidden="1"/>
    </xf>
    <xf numFmtId="176" fontId="24" fillId="0" borderId="29" xfId="0" applyNumberFormat="1" applyFont="1" applyFill="1" applyBorder="1" applyAlignment="1" applyProtection="1">
      <alignment horizontal="right" vertical="center"/>
      <protection hidden="1"/>
    </xf>
    <xf numFmtId="0" fontId="0" fillId="0" borderId="29" xfId="0" applyFont="1" applyFill="1" applyBorder="1" applyAlignment="1" applyProtection="1">
      <alignment horizontal="right" vertical="center"/>
      <protection hidden="1"/>
    </xf>
    <xf numFmtId="0" fontId="0" fillId="0" borderId="30" xfId="0" applyFont="1" applyFill="1" applyBorder="1" applyAlignment="1" applyProtection="1">
      <alignment horizontal="left" vertical="center"/>
      <protection hidden="1"/>
    </xf>
    <xf numFmtId="0" fontId="17" fillId="0" borderId="32" xfId="0" applyFont="1" applyFill="1" applyBorder="1" applyAlignment="1" applyProtection="1">
      <alignment vertical="center"/>
      <protection hidden="1"/>
    </xf>
    <xf numFmtId="0" fontId="19" fillId="0" borderId="6" xfId="0" applyFont="1" applyFill="1" applyBorder="1" applyAlignment="1" applyProtection="1">
      <alignment vertical="center"/>
      <protection hidden="1"/>
    </xf>
    <xf numFmtId="0" fontId="17" fillId="0" borderId="33" xfId="0" applyFont="1" applyFill="1" applyBorder="1" applyAlignment="1" applyProtection="1">
      <alignment horizontal="right" vertical="center"/>
      <protection hidden="1"/>
    </xf>
    <xf numFmtId="0" fontId="17" fillId="0" borderId="6" xfId="0" applyNumberFormat="1" applyFont="1" applyFill="1" applyBorder="1" applyAlignment="1" applyProtection="1">
      <alignment vertical="center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0" fontId="17" fillId="0" borderId="34" xfId="0" applyFont="1" applyFill="1" applyBorder="1" applyAlignment="1" applyProtection="1">
      <alignment vertical="center"/>
      <protection hidden="1"/>
    </xf>
    <xf numFmtId="0" fontId="17" fillId="0" borderId="31" xfId="0" applyFont="1" applyFill="1" applyBorder="1" applyAlignment="1" applyProtection="1">
      <alignment vertical="center"/>
      <protection hidden="1"/>
    </xf>
    <xf numFmtId="0" fontId="19" fillId="0" borderId="29" xfId="0" applyFont="1" applyFill="1" applyBorder="1" applyAlignment="1" applyProtection="1">
      <alignment vertical="center"/>
      <protection hidden="1"/>
    </xf>
    <xf numFmtId="0" fontId="17" fillId="0" borderId="2" xfId="0" applyFont="1" applyFill="1" applyBorder="1" applyAlignment="1" applyProtection="1">
      <alignment horizontal="right" vertical="center"/>
      <protection hidden="1"/>
    </xf>
    <xf numFmtId="180" fontId="17" fillId="0" borderId="29" xfId="1" applyNumberFormat="1" applyFont="1" applyFill="1" applyBorder="1" applyAlignment="1" applyProtection="1">
      <alignment vertical="center"/>
      <protection hidden="1"/>
    </xf>
    <xf numFmtId="0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17" fillId="0" borderId="30" xfId="0" applyFont="1" applyFill="1" applyBorder="1" applyAlignment="1" applyProtection="1">
      <alignment vertical="center"/>
      <protection hidden="1"/>
    </xf>
    <xf numFmtId="0" fontId="17" fillId="0" borderId="35" xfId="0" applyFont="1" applyFill="1" applyBorder="1" applyAlignment="1" applyProtection="1">
      <alignment vertical="center"/>
      <protection hidden="1"/>
    </xf>
    <xf numFmtId="0" fontId="19" fillId="0" borderId="36" xfId="0" applyFont="1" applyFill="1" applyBorder="1" applyAlignment="1" applyProtection="1">
      <alignment vertical="center"/>
      <protection hidden="1"/>
    </xf>
    <xf numFmtId="0" fontId="17" fillId="0" borderId="37" xfId="0" applyFont="1" applyFill="1" applyBorder="1" applyAlignment="1" applyProtection="1">
      <alignment horizontal="right" vertical="center"/>
      <protection hidden="1"/>
    </xf>
    <xf numFmtId="181" fontId="17" fillId="0" borderId="34" xfId="0" applyNumberFormat="1" applyFont="1" applyFill="1" applyBorder="1" applyAlignment="1" applyProtection="1">
      <alignment vertical="center"/>
      <protection hidden="1"/>
    </xf>
    <xf numFmtId="179" fontId="17" fillId="0" borderId="36" xfId="0" applyNumberFormat="1" applyFont="1" applyFill="1" applyBorder="1" applyAlignment="1" applyProtection="1">
      <alignment vertical="center"/>
      <protection hidden="1"/>
    </xf>
    <xf numFmtId="0" fontId="17" fillId="0" borderId="36" xfId="0" applyNumberFormat="1" applyFont="1" applyFill="1" applyBorder="1" applyAlignment="1" applyProtection="1">
      <alignment horizontal="centerContinuous" vertical="center"/>
      <protection hidden="1"/>
    </xf>
    <xf numFmtId="0" fontId="20" fillId="0" borderId="36" xfId="0" applyNumberFormat="1" applyFont="1" applyFill="1" applyBorder="1" applyAlignment="1" applyProtection="1">
      <alignment horizontal="left" vertical="center"/>
      <protection hidden="1"/>
    </xf>
    <xf numFmtId="0" fontId="18" fillId="0" borderId="36" xfId="0" applyNumberFormat="1" applyFont="1" applyFill="1" applyBorder="1" applyAlignment="1" applyProtection="1">
      <alignment horizontal="left" vertical="center"/>
      <protection hidden="1"/>
    </xf>
    <xf numFmtId="181" fontId="17" fillId="0" borderId="38" xfId="0" applyNumberFormat="1" applyFont="1" applyFill="1" applyBorder="1" applyAlignment="1" applyProtection="1">
      <alignment vertical="center"/>
      <protection hidden="1"/>
    </xf>
    <xf numFmtId="0" fontId="17" fillId="0" borderId="6" xfId="0" applyFont="1" applyFill="1" applyBorder="1" applyAlignment="1" applyProtection="1">
      <alignment vertical="center"/>
      <protection hidden="1"/>
    </xf>
    <xf numFmtId="0" fontId="2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6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34" xfId="0" applyNumberFormat="1" applyFont="1" applyFill="1" applyBorder="1" applyAlignment="1" applyProtection="1">
      <alignment vertical="center"/>
      <protection hidden="1"/>
    </xf>
    <xf numFmtId="0" fontId="17" fillId="0" borderId="36" xfId="0" applyFont="1" applyFill="1" applyBorder="1" applyAlignment="1" applyProtection="1">
      <alignment vertical="center"/>
      <protection hidden="1"/>
    </xf>
    <xf numFmtId="0" fontId="21" fillId="0" borderId="36" xfId="0" applyNumberFormat="1" applyFont="1" applyFill="1" applyBorder="1" applyAlignment="1" applyProtection="1">
      <alignment horizontal="centerContinuous" vertical="center"/>
      <protection hidden="1"/>
    </xf>
    <xf numFmtId="0" fontId="19" fillId="0" borderId="36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38" xfId="0" applyNumberFormat="1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centerContinuous" vertical="center"/>
      <protection hidden="1"/>
    </xf>
    <xf numFmtId="0" fontId="19" fillId="0" borderId="0" xfId="0" applyNumberFormat="1" applyFont="1" applyFill="1" applyBorder="1" applyAlignment="1" applyProtection="1">
      <alignment horizontal="centerContinuous" vertical="center"/>
      <protection hidden="1"/>
    </xf>
    <xf numFmtId="181" fontId="19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horizontal="center" vertical="center"/>
      <protection hidden="1"/>
    </xf>
    <xf numFmtId="0" fontId="26" fillId="4" borderId="0" xfId="0" applyFont="1" applyFill="1" applyBorder="1" applyAlignment="1" applyProtection="1">
      <alignment vertical="center"/>
      <protection hidden="1"/>
    </xf>
    <xf numFmtId="38" fontId="26" fillId="4" borderId="0" xfId="1" applyFont="1" applyFill="1" applyBorder="1" applyAlignment="1" applyProtection="1">
      <alignment vertical="center"/>
      <protection hidden="1"/>
    </xf>
    <xf numFmtId="38" fontId="27" fillId="4" borderId="0" xfId="1" applyFont="1" applyFill="1" applyBorder="1" applyAlignment="1" applyProtection="1">
      <alignment vertical="center"/>
      <protection hidden="1"/>
    </xf>
    <xf numFmtId="176" fontId="27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0" fillId="0" borderId="30" xfId="0" applyFont="1" applyFill="1" applyBorder="1" applyAlignment="1" applyProtection="1">
      <alignment vertical="center"/>
      <protection hidden="1"/>
    </xf>
    <xf numFmtId="179" fontId="0" fillId="0" borderId="29" xfId="0" applyNumberFormat="1" applyFont="1" applyBorder="1" applyAlignment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/>
    <xf numFmtId="0" fontId="15" fillId="2" borderId="0" xfId="0" applyFont="1" applyFill="1" applyBorder="1" applyAlignment="1" applyProtection="1">
      <alignment horizontal="left" vertical="center"/>
    </xf>
    <xf numFmtId="0" fontId="0" fillId="0" borderId="31" xfId="0" applyFont="1" applyFill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29" fillId="2" borderId="0" xfId="0" applyFont="1" applyFill="1" applyBorder="1" applyAlignment="1" applyProtection="1">
      <alignment horizontal="left" vertical="center" indent="1"/>
      <protection hidden="1"/>
    </xf>
    <xf numFmtId="0" fontId="0" fillId="0" borderId="43" xfId="0" applyFont="1" applyFill="1" applyBorder="1" applyAlignment="1" applyProtection="1">
      <alignment horizontal="left" vertical="center" indent="1"/>
      <protection hidden="1"/>
    </xf>
    <xf numFmtId="0" fontId="0" fillId="0" borderId="44" xfId="0" applyBorder="1" applyAlignment="1" applyProtection="1">
      <alignment horizontal="left" vertical="center" inden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protection hidden="1"/>
    </xf>
    <xf numFmtId="179" fontId="14" fillId="0" borderId="29" xfId="0" applyNumberFormat="1" applyFont="1" applyBorder="1" applyAlignment="1" applyProtection="1">
      <alignment horizontal="left" vertical="center"/>
      <protection hidden="1"/>
    </xf>
    <xf numFmtId="179" fontId="14" fillId="0" borderId="36" xfId="0" applyNumberFormat="1" applyFont="1" applyBorder="1" applyAlignment="1" applyProtection="1">
      <alignment horizontal="left" vertical="center"/>
      <protection hidden="1"/>
    </xf>
    <xf numFmtId="176" fontId="12" fillId="0" borderId="9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37" xfId="0" applyFont="1" applyFill="1" applyBorder="1" applyAlignment="1" applyProtection="1">
      <alignment horizontal="right" vertical="center"/>
      <protection hidden="1"/>
    </xf>
    <xf numFmtId="180" fontId="0" fillId="0" borderId="36" xfId="1" applyNumberFormat="1" applyFont="1" applyFill="1" applyBorder="1" applyAlignment="1" applyProtection="1">
      <alignment vertical="center"/>
      <protection hidden="1"/>
    </xf>
    <xf numFmtId="0" fontId="0" fillId="0" borderId="36" xfId="0" applyNumberFormat="1" applyFont="1" applyFill="1" applyBorder="1" applyAlignment="1" applyProtection="1">
      <alignment horizontal="center" vertical="center"/>
      <protection hidden="1"/>
    </xf>
    <xf numFmtId="179" fontId="0" fillId="0" borderId="38" xfId="0" applyNumberFormat="1" applyFont="1" applyFill="1" applyBorder="1" applyAlignment="1" applyProtection="1">
      <alignment vertical="center"/>
      <protection hidden="1"/>
    </xf>
    <xf numFmtId="0" fontId="0" fillId="0" borderId="35" xfId="0" applyFont="1" applyFill="1" applyBorder="1" applyAlignment="1" applyProtection="1">
      <alignment horizontal="left" vertical="center" indent="1"/>
      <protection hidden="1"/>
    </xf>
    <xf numFmtId="0" fontId="0" fillId="0" borderId="48" xfId="0" applyFont="1" applyFill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16311366056615E-2"/>
          <c:y val="5.2671108419139918E-2"/>
          <c:w val="0.90083284838263999"/>
          <c:h val="0.82439396998452119"/>
        </c:manualLayout>
      </c:layou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小屋裏エコルーバー　四角形（固定）'!$B$43:$H$43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324.17699420932888</c:v>
                </c:pt>
                <c:pt idx="2">
                  <c:v>468.71033445223361</c:v>
                </c:pt>
                <c:pt idx="3">
                  <c:v>581.52727982538488</c:v>
                </c:pt>
                <c:pt idx="4">
                  <c:v>677.68343080035459</c:v>
                </c:pt>
                <c:pt idx="5">
                  <c:v>763.08821533962794</c:v>
                </c:pt>
                <c:pt idx="6">
                  <c:v>840.79947278445718</c:v>
                </c:pt>
              </c:numCache>
            </c:numRef>
          </c:xVal>
          <c:yVal>
            <c:numRef>
              <c:f>'PQ-SV042 小屋裏エコルーバー　四角形（固定）'!$B$42:$H$42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EB-4EC7-B837-2391FB1E2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93192"/>
        <c:axId val="4325781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solidFill>
                      <a:schemeClr val="dk1">
                        <a:tint val="885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dk1">
                        <a:tint val="88500"/>
                      </a:schemeClr>
                    </a:solidFill>
                    <a:ln w="9525">
                      <a:solidFill>
                        <a:schemeClr val="dk1">
                          <a:tint val="885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'PQ-SV042 小屋裏エコルーバー　四角形（固定）'!$B$42:$H$42</c15:sqref>
                        </c15:formulaRef>
                      </c:ext>
                    </c:extLst>
                    <c:numCache>
                      <c:formatCode>#,##0_);[Red]\(#,##0\)</c:formatCode>
                      <c:ptCount val="7"/>
                      <c:pt idx="0">
                        <c:v>0</c:v>
                      </c:pt>
                      <c:pt idx="1">
                        <c:v>10</c:v>
                      </c:pt>
                      <c:pt idx="2">
                        <c:v>20</c:v>
                      </c:pt>
                      <c:pt idx="3">
                        <c:v>30</c:v>
                      </c:pt>
                      <c:pt idx="4">
                        <c:v>40</c:v>
                      </c:pt>
                      <c:pt idx="5">
                        <c:v>50</c:v>
                      </c:pt>
                      <c:pt idx="6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'PQ-SV042 小屋裏エコルーバー　四角形（固定）'!$B$43:$H$43</c15:sqref>
                        </c15:formulaRef>
                      </c:ext>
                    </c:extLst>
                    <c:numCache>
                      <c:formatCode>0.0_ </c:formatCode>
                      <c:ptCount val="7"/>
                      <c:pt idx="0">
                        <c:v>0</c:v>
                      </c:pt>
                      <c:pt idx="1">
                        <c:v>324.17699420932888</c:v>
                      </c:pt>
                      <c:pt idx="2">
                        <c:v>468.71033445223361</c:v>
                      </c:pt>
                      <c:pt idx="3">
                        <c:v>581.52727982538488</c:v>
                      </c:pt>
                      <c:pt idx="4">
                        <c:v>677.68343080035459</c:v>
                      </c:pt>
                      <c:pt idx="5">
                        <c:v>763.08821533962794</c:v>
                      </c:pt>
                      <c:pt idx="6">
                        <c:v>840.79947278445718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6EB-4EC7-B837-2391FB1E2794}"/>
                  </c:ext>
                </c:extLst>
              </c15:ser>
            </c15:filteredScatterSeries>
          </c:ext>
        </c:extLst>
      </c:scatterChart>
      <c:valAx>
        <c:axId val="19899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578104"/>
        <c:crosses val="autoZero"/>
        <c:crossBetween val="midCat"/>
      </c:valAx>
      <c:valAx>
        <c:axId val="43257810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993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03272950207863E-2"/>
          <c:y val="5.4595966201899181E-2"/>
          <c:w val="0.89853729602691035"/>
          <c:h val="0.8438367319469681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'PQ-SV042 小屋裏排熱エコルーバー　五角形（固定式）'!$B$37:$H$37</c:f>
              <c:numCache>
                <c:formatCode>0.0_ </c:formatCode>
                <c:ptCount val="7"/>
                <c:pt idx="0">
                  <c:v>0</c:v>
                </c:pt>
                <c:pt idx="1">
                  <c:v>294.68120337178226</c:v>
                </c:pt>
                <c:pt idx="2">
                  <c:v>426.06393376572316</c:v>
                </c:pt>
                <c:pt idx="3">
                  <c:v>528.6160389956882</c:v>
                </c:pt>
                <c:pt idx="4">
                  <c:v>616.0232603193765</c:v>
                </c:pt>
                <c:pt idx="5">
                  <c:v>693.65734642448047</c:v>
                </c:pt>
                <c:pt idx="6">
                  <c:v>764.29791397996087</c:v>
                </c:pt>
              </c:numCache>
            </c:numRef>
          </c:xVal>
          <c:yVal>
            <c:numRef>
              <c:f>'PQ-SV042 小屋裏排熱エコルーバー　五角形（固定式）'!$B$36:$H$36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89-4FFD-9CFE-5C785A435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88736"/>
        <c:axId val="433294624"/>
      </c:scatterChart>
      <c:valAx>
        <c:axId val="43318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294624"/>
        <c:crosses val="autoZero"/>
        <c:crossBetween val="midCat"/>
      </c:valAx>
      <c:valAx>
        <c:axId val="43329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33188736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A699-4A72-979A-265EF88A77E4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A699-4A72-979A-265EF88A77E4}"/>
              </c:ext>
            </c:extLst>
          </c:dPt>
          <c:xVal>
            <c:numRef>
              <c:f>'PQ-SV042 小屋裏エコルーバー　片流れ（固定）'!$B$43:$H$43</c:f>
              <c:numCache>
                <c:formatCode>0.0_ </c:formatCode>
                <c:ptCount val="7"/>
                <c:pt idx="0">
                  <c:v>0</c:v>
                </c:pt>
                <c:pt idx="1">
                  <c:v>206.19383085914234</c:v>
                </c:pt>
                <c:pt idx="2">
                  <c:v>298.12473170619188</c:v>
                </c:pt>
                <c:pt idx="3">
                  <c:v>369.88231650659793</c:v>
                </c:pt>
                <c:pt idx="4">
                  <c:v>431.0427488764422</c:v>
                </c:pt>
                <c:pt idx="5">
                  <c:v>485.36473967903828</c:v>
                </c:pt>
                <c:pt idx="6">
                  <c:v>534.79323756647193</c:v>
                </c:pt>
              </c:numCache>
            </c:numRef>
          </c:xVal>
          <c:yVal>
            <c:numRef>
              <c:f>'PQ-SV042 小屋裏エコルーバー　片流れ（固定）'!$B$42:$H$42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9-4A72-979A-265EF88A7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50304"/>
        <c:axId val="432707840"/>
      </c:scatterChart>
      <c:valAx>
        <c:axId val="43355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707840"/>
        <c:crosses val="autoZero"/>
        <c:crossBetween val="midCat"/>
      </c:valAx>
      <c:valAx>
        <c:axId val="43270784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55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1085850</xdr:colOff>
      <xdr:row>2</xdr:row>
      <xdr:rowOff>16307</xdr:rowOff>
    </xdr:from>
    <xdr:to>
      <xdr:col>6</xdr:col>
      <xdr:colOff>398751</xdr:colOff>
      <xdr:row>16</xdr:row>
      <xdr:rowOff>103815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0" y="416357"/>
          <a:ext cx="4704051" cy="3478408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18</xdr:row>
      <xdr:rowOff>276225</xdr:rowOff>
    </xdr:from>
    <xdr:to>
      <xdr:col>7</xdr:col>
      <xdr:colOff>638174</xdr:colOff>
      <xdr:row>18</xdr:row>
      <xdr:rowOff>3248025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37121</xdr:colOff>
      <xdr:row>18</xdr:row>
      <xdr:rowOff>3190625</xdr:rowOff>
    </xdr:from>
    <xdr:ext cx="1646156" cy="359073"/>
    <xdr:sp macro="" textlink="">
      <xdr:nvSpPr>
        <xdr:cNvPr id="8" name="テキスト ボックス 7"/>
        <xdr:cNvSpPr txBox="1"/>
      </xdr:nvSpPr>
      <xdr:spPr>
        <a:xfrm>
          <a:off x="2799371" y="7457825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9526</xdr:colOff>
      <xdr:row>18</xdr:row>
      <xdr:rowOff>904876</xdr:rowOff>
    </xdr:from>
    <xdr:ext cx="359073" cy="1832874"/>
    <xdr:sp macro="" textlink="">
      <xdr:nvSpPr>
        <xdr:cNvPr id="9" name="テキスト ボックス 8"/>
        <xdr:cNvSpPr txBox="1"/>
      </xdr:nvSpPr>
      <xdr:spPr>
        <a:xfrm rot="16200000">
          <a:off x="-727374" y="5908976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15</xdr:row>
      <xdr:rowOff>238125</xdr:rowOff>
    </xdr:from>
    <xdr:to>
      <xdr:col>7</xdr:col>
      <xdr:colOff>628649</xdr:colOff>
      <xdr:row>15</xdr:row>
      <xdr:rowOff>3209925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465742</xdr:colOff>
      <xdr:row>15</xdr:row>
      <xdr:rowOff>3162048</xdr:rowOff>
    </xdr:from>
    <xdr:ext cx="1493294" cy="325730"/>
    <xdr:sp macro="" textlink="">
      <xdr:nvSpPr>
        <xdr:cNvPr id="15" name="テキスト ボックス 14"/>
        <xdr:cNvSpPr txBox="1"/>
      </xdr:nvSpPr>
      <xdr:spPr>
        <a:xfrm>
          <a:off x="2770792" y="8305548"/>
          <a:ext cx="149329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m3/hr</a:t>
          </a:r>
          <a:r>
            <a:rPr kumimoji="1"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188122</xdr:colOff>
      <xdr:row>15</xdr:row>
      <xdr:rowOff>955119</xdr:rowOff>
    </xdr:from>
    <xdr:ext cx="325730" cy="1389483"/>
    <xdr:sp macro="" textlink="">
      <xdr:nvSpPr>
        <xdr:cNvPr id="16" name="テキスト ボックス 15"/>
        <xdr:cNvSpPr txBox="1"/>
      </xdr:nvSpPr>
      <xdr:spPr>
        <a:xfrm rot="16200000">
          <a:off x="-343755" y="6630496"/>
          <a:ext cx="1389483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twoCellAnchor>
    <xdr:from>
      <xdr:col>0</xdr:col>
      <xdr:colOff>251397</xdr:colOff>
      <xdr:row>1</xdr:row>
      <xdr:rowOff>76200</xdr:rowOff>
    </xdr:from>
    <xdr:to>
      <xdr:col>7</xdr:col>
      <xdr:colOff>200025</xdr:colOff>
      <xdr:row>13</xdr:row>
      <xdr:rowOff>279043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1397" y="419100"/>
          <a:ext cx="5238178" cy="4317643"/>
        </a:xfrm>
        <a:prstGeom prst="rect">
          <a:avLst/>
        </a:prstGeom>
      </xdr:spPr>
    </xdr:pic>
    <xdr:clientData/>
  </xdr:twoCellAnchor>
  <xdr:twoCellAnchor>
    <xdr:from>
      <xdr:col>1</xdr:col>
      <xdr:colOff>412750</xdr:colOff>
      <xdr:row>12</xdr:row>
      <xdr:rowOff>243973</xdr:rowOff>
    </xdr:from>
    <xdr:to>
      <xdr:col>2</xdr:col>
      <xdr:colOff>261230</xdr:colOff>
      <xdr:row>13</xdr:row>
      <xdr:rowOff>52379</xdr:rowOff>
    </xdr:to>
    <xdr:sp macro="" textlink="">
      <xdr:nvSpPr>
        <xdr:cNvPr id="6" name="テキスト ボックス 5"/>
        <xdr:cNvSpPr txBox="1"/>
      </xdr:nvSpPr>
      <xdr:spPr>
        <a:xfrm>
          <a:off x="1504950" y="4358773"/>
          <a:ext cx="870830" cy="1513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ja-JP" altLang="en-US" sz="1000"/>
            <a:t>商品Ｗ寸法</a:t>
          </a:r>
        </a:p>
      </xdr:txBody>
    </xdr:sp>
    <xdr:clientData/>
  </xdr:twoCellAnchor>
  <xdr:twoCellAnchor>
    <xdr:from>
      <xdr:col>3</xdr:col>
      <xdr:colOff>0</xdr:colOff>
      <xdr:row>6</xdr:row>
      <xdr:rowOff>222250</xdr:rowOff>
    </xdr:from>
    <xdr:to>
      <xdr:col>3</xdr:col>
      <xdr:colOff>267308</xdr:colOff>
      <xdr:row>9</xdr:row>
      <xdr:rowOff>97130</xdr:rowOff>
    </xdr:to>
    <xdr:sp macro="" textlink="">
      <xdr:nvSpPr>
        <xdr:cNvPr id="7" name="テキスト ボックス 6"/>
        <xdr:cNvSpPr txBox="1"/>
      </xdr:nvSpPr>
      <xdr:spPr>
        <a:xfrm>
          <a:off x="2749550" y="2279650"/>
          <a:ext cx="267308" cy="9035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pPr algn="ctr"/>
          <a:r>
            <a:rPr kumimoji="1" lang="ja-JP" altLang="en-US" sz="1000"/>
            <a:t>商品Ｈ寸法</a:t>
          </a:r>
        </a:p>
      </xdr:txBody>
    </xdr:sp>
    <xdr:clientData/>
  </xdr:twoCellAnchor>
  <xdr:twoCellAnchor>
    <xdr:from>
      <xdr:col>1</xdr:col>
      <xdr:colOff>958850</xdr:colOff>
      <xdr:row>3</xdr:row>
      <xdr:rowOff>50800</xdr:rowOff>
    </xdr:from>
    <xdr:to>
      <xdr:col>3</xdr:col>
      <xdr:colOff>172330</xdr:colOff>
      <xdr:row>3</xdr:row>
      <xdr:rowOff>330200</xdr:rowOff>
    </xdr:to>
    <xdr:sp macro="" textlink="">
      <xdr:nvSpPr>
        <xdr:cNvPr id="13" name="テキスト ボックス 12"/>
        <xdr:cNvSpPr txBox="1"/>
      </xdr:nvSpPr>
      <xdr:spPr>
        <a:xfrm>
          <a:off x="2051050" y="1079500"/>
          <a:ext cx="87083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B</a:t>
          </a:r>
          <a:r>
            <a:rPr kumimoji="1" lang="ja-JP" altLang="en-US" sz="1000"/>
            <a:t>－</a:t>
          </a:r>
          <a:r>
            <a:rPr kumimoji="1" lang="en-US" altLang="ja-JP" sz="1000"/>
            <a:t>B</a:t>
          </a:r>
          <a:r>
            <a:rPr kumimoji="1" lang="ja-JP" altLang="en-US" sz="1000"/>
            <a:t>断面図</a:t>
          </a:r>
        </a:p>
      </xdr:txBody>
    </xdr:sp>
    <xdr:clientData/>
  </xdr:twoCellAnchor>
  <xdr:twoCellAnchor>
    <xdr:from>
      <xdr:col>0</xdr:col>
      <xdr:colOff>260350</xdr:colOff>
      <xdr:row>12</xdr:row>
      <xdr:rowOff>120650</xdr:rowOff>
    </xdr:from>
    <xdr:to>
      <xdr:col>1</xdr:col>
      <xdr:colOff>38980</xdr:colOff>
      <xdr:row>13</xdr:row>
      <xdr:rowOff>57150</xdr:rowOff>
    </xdr:to>
    <xdr:sp macro="" textlink="">
      <xdr:nvSpPr>
        <xdr:cNvPr id="12" name="テキスト ボックス 11"/>
        <xdr:cNvSpPr txBox="1"/>
      </xdr:nvSpPr>
      <xdr:spPr>
        <a:xfrm>
          <a:off x="260350" y="4235450"/>
          <a:ext cx="87083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rtlCol="0" anchor="ctr"/>
        <a:lstStyle/>
        <a:p>
          <a:pPr algn="ctr"/>
          <a:r>
            <a:rPr kumimoji="1" lang="en-US" altLang="ja-JP" sz="1000"/>
            <a:t>A</a:t>
          </a:r>
          <a:r>
            <a:rPr kumimoji="1" lang="ja-JP" altLang="en-US" sz="1000"/>
            <a:t>－</a:t>
          </a:r>
          <a:r>
            <a:rPr kumimoji="1" lang="en-US" altLang="ja-JP" sz="1000"/>
            <a:t>A</a:t>
          </a:r>
          <a:r>
            <a:rPr kumimoji="1" lang="ja-JP" altLang="en-US" sz="1000"/>
            <a:t>断面図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1028213</xdr:colOff>
      <xdr:row>2</xdr:row>
      <xdr:rowOff>42336</xdr:rowOff>
    </xdr:from>
    <xdr:to>
      <xdr:col>6</xdr:col>
      <xdr:colOff>466725</xdr:colOff>
      <xdr:row>16</xdr:row>
      <xdr:rowOff>161926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213" y="442386"/>
          <a:ext cx="4829662" cy="3510490"/>
        </a:xfrm>
        <a:prstGeom prst="rect">
          <a:avLst/>
        </a:prstGeom>
      </xdr:spPr>
    </xdr:pic>
    <xdr:clientData/>
  </xdr:twoCellAnchor>
  <xdr:twoCellAnchor>
    <xdr:from>
      <xdr:col>0</xdr:col>
      <xdr:colOff>333375</xdr:colOff>
      <xdr:row>18</xdr:row>
      <xdr:rowOff>104775</xdr:rowOff>
    </xdr:from>
    <xdr:to>
      <xdr:col>7</xdr:col>
      <xdr:colOff>609600</xdr:colOff>
      <xdr:row>18</xdr:row>
      <xdr:rowOff>3343275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27590</xdr:colOff>
      <xdr:row>18</xdr:row>
      <xdr:rowOff>3228724</xdr:rowOff>
    </xdr:from>
    <xdr:ext cx="1646156" cy="359073"/>
    <xdr:sp macro="" textlink="">
      <xdr:nvSpPr>
        <xdr:cNvPr id="4" name="テキスト ボックス 3"/>
        <xdr:cNvSpPr txBox="1"/>
      </xdr:nvSpPr>
      <xdr:spPr>
        <a:xfrm>
          <a:off x="2789840" y="7667374"/>
          <a:ext cx="16461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通気量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  <xdr:oneCellAnchor>
    <xdr:from>
      <xdr:col>0</xdr:col>
      <xdr:colOff>0</xdr:colOff>
      <xdr:row>18</xdr:row>
      <xdr:rowOff>942975</xdr:rowOff>
    </xdr:from>
    <xdr:ext cx="359073" cy="1832874"/>
    <xdr:sp macro="" textlink="">
      <xdr:nvSpPr>
        <xdr:cNvPr id="5" name="テキスト ボックス 4"/>
        <xdr:cNvSpPr txBox="1"/>
      </xdr:nvSpPr>
      <xdr:spPr>
        <a:xfrm rot="16200000">
          <a:off x="-736900" y="6118525"/>
          <a:ext cx="1832874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圧力差⊿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</a:t>
          </a:r>
          <a:r>
            <a:rPr kumimoji="1" lang="en-US" altLang="ja-JP" sz="1600" baseline="30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/hr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6" name="Line 3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178" name="Line 6"/>
        <xdr:cNvSpPr>
          <a:spLocks noChangeShapeType="1"/>
        </xdr:cNvSpPr>
      </xdr:nvSpPr>
      <xdr:spPr bwMode="auto">
        <a:xfrm flipH="1">
          <a:off x="4867275" y="1543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7</xdr:row>
      <xdr:rowOff>0</xdr:rowOff>
    </xdr:from>
    <xdr:to>
      <xdr:col>9</xdr:col>
      <xdr:colOff>276225</xdr:colOff>
      <xdr:row>7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7524750" y="15430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0" name="Line 9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2" name="Line 12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50</xdr:row>
      <xdr:rowOff>0</xdr:rowOff>
    </xdr:from>
    <xdr:to>
      <xdr:col>9</xdr:col>
      <xdr:colOff>276225</xdr:colOff>
      <xdr:row>50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7524750" y="1087755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184" name="Line 15"/>
        <xdr:cNvSpPr>
          <a:spLocks noChangeShapeType="1"/>
        </xdr:cNvSpPr>
      </xdr:nvSpPr>
      <xdr:spPr bwMode="auto">
        <a:xfrm flipH="1">
          <a:off x="5600700" y="10877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85" name="Line 16"/>
        <xdr:cNvSpPr>
          <a:spLocks noChangeShapeType="1"/>
        </xdr:cNvSpPr>
      </xdr:nvSpPr>
      <xdr:spPr bwMode="auto">
        <a:xfrm flipH="1">
          <a:off x="5600700" y="9744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86" name="Line 19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7" name="Line 22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27</xdr:row>
      <xdr:rowOff>0</xdr:rowOff>
    </xdr:from>
    <xdr:to>
      <xdr:col>9</xdr:col>
      <xdr:colOff>276225</xdr:colOff>
      <xdr:row>27</xdr:row>
      <xdr:rowOff>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7524750" y="58293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数値入力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89" name="Line 25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190" name="Line 26"/>
        <xdr:cNvSpPr>
          <a:spLocks noChangeShapeType="1"/>
        </xdr:cNvSpPr>
      </xdr:nvSpPr>
      <xdr:spPr bwMode="auto">
        <a:xfrm flipH="1">
          <a:off x="5600700" y="5829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3191" name="Line 27"/>
        <xdr:cNvSpPr>
          <a:spLocks noChangeShapeType="1"/>
        </xdr:cNvSpPr>
      </xdr:nvSpPr>
      <xdr:spPr bwMode="auto">
        <a:xfrm flipH="1">
          <a:off x="5600700" y="46958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192" name="Line 32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193" name="Line 35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4" name="Line 38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31</xdr:row>
      <xdr:rowOff>0</xdr:rowOff>
    </xdr:to>
    <xdr:sp macro="" textlink="">
      <xdr:nvSpPr>
        <xdr:cNvPr id="3195" name="Line 41"/>
        <xdr:cNvSpPr>
          <a:spLocks noChangeShapeType="1"/>
        </xdr:cNvSpPr>
      </xdr:nvSpPr>
      <xdr:spPr bwMode="auto">
        <a:xfrm flipH="1">
          <a:off x="5600700" y="64865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6" name="Line 42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197" name="Line 4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8" name="Line 46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99" name="Line 47"/>
        <xdr:cNvSpPr>
          <a:spLocks noChangeShapeType="1"/>
        </xdr:cNvSpPr>
      </xdr:nvSpPr>
      <xdr:spPr bwMode="auto">
        <a:xfrm flipH="1">
          <a:off x="5600700" y="49149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0" name="Line 48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31</xdr:row>
      <xdr:rowOff>0</xdr:rowOff>
    </xdr:from>
    <xdr:to>
      <xdr:col>6</xdr:col>
      <xdr:colOff>0</xdr:colOff>
      <xdr:row>32</xdr:row>
      <xdr:rowOff>0</xdr:rowOff>
    </xdr:to>
    <xdr:sp macro="" textlink="">
      <xdr:nvSpPr>
        <xdr:cNvPr id="3201" name="Line 49"/>
        <xdr:cNvSpPr>
          <a:spLocks noChangeShapeType="1"/>
        </xdr:cNvSpPr>
      </xdr:nvSpPr>
      <xdr:spPr bwMode="auto">
        <a:xfrm flipH="1">
          <a:off x="5600700" y="67056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2" name="Line 54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203" name="Line 55"/>
        <xdr:cNvSpPr>
          <a:spLocks noChangeShapeType="1"/>
        </xdr:cNvSpPr>
      </xdr:nvSpPr>
      <xdr:spPr bwMode="auto">
        <a:xfrm flipH="1">
          <a:off x="5600700" y="8058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4" name="Line 56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3205" name="Line 57"/>
        <xdr:cNvSpPr>
          <a:spLocks noChangeShapeType="1"/>
        </xdr:cNvSpPr>
      </xdr:nvSpPr>
      <xdr:spPr bwMode="auto">
        <a:xfrm flipH="1">
          <a:off x="5600700" y="82772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6" name="Line 58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47</xdr:row>
      <xdr:rowOff>0</xdr:rowOff>
    </xdr:to>
    <xdr:sp macro="" textlink="">
      <xdr:nvSpPr>
        <xdr:cNvPr id="3207" name="Line 59"/>
        <xdr:cNvSpPr>
          <a:spLocks noChangeShapeType="1"/>
        </xdr:cNvSpPr>
      </xdr:nvSpPr>
      <xdr:spPr bwMode="auto">
        <a:xfrm flipH="1">
          <a:off x="5600700" y="99631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3208" name="Line 60"/>
        <xdr:cNvSpPr>
          <a:spLocks noChangeShapeType="1"/>
        </xdr:cNvSpPr>
      </xdr:nvSpPr>
      <xdr:spPr bwMode="auto">
        <a:xfrm flipH="1">
          <a:off x="5600700" y="114300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09" name="Line 61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3210" name="Line 62"/>
        <xdr:cNvSpPr>
          <a:spLocks noChangeShapeType="1"/>
        </xdr:cNvSpPr>
      </xdr:nvSpPr>
      <xdr:spPr bwMode="auto">
        <a:xfrm flipH="1">
          <a:off x="5600700" y="1164907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60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3211" name="Line 63"/>
        <xdr:cNvSpPr>
          <a:spLocks noChangeShapeType="1"/>
        </xdr:cNvSpPr>
      </xdr:nvSpPr>
      <xdr:spPr bwMode="auto">
        <a:xfrm flipH="1">
          <a:off x="5600700" y="130016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2" name="Line 64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61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3213" name="Line 65"/>
        <xdr:cNvSpPr>
          <a:spLocks noChangeShapeType="1"/>
        </xdr:cNvSpPr>
      </xdr:nvSpPr>
      <xdr:spPr bwMode="auto">
        <a:xfrm flipH="1">
          <a:off x="5600700" y="132207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2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24.95" customHeight="1">
      <c r="A1" s="262" t="s">
        <v>73</v>
      </c>
      <c r="B1" s="262"/>
      <c r="C1" s="262"/>
      <c r="D1" s="262"/>
      <c r="E1" s="263" t="s">
        <v>37</v>
      </c>
      <c r="F1" s="263"/>
      <c r="G1" s="263"/>
      <c r="H1" s="263"/>
    </row>
    <row r="2" spans="1:8">
      <c r="A2" s="264"/>
      <c r="B2" s="264"/>
      <c r="C2" s="264"/>
      <c r="D2" s="264"/>
      <c r="E2" s="264"/>
    </row>
    <row r="3" spans="1:8">
      <c r="A3" s="264"/>
      <c r="B3" s="264"/>
      <c r="C3" s="264"/>
      <c r="D3" s="264"/>
      <c r="E3" s="264"/>
    </row>
    <row r="4" spans="1:8" ht="20.100000000000001" customHeight="1">
      <c r="A4" s="264"/>
      <c r="B4" s="264"/>
      <c r="C4" s="264"/>
      <c r="D4" s="264"/>
      <c r="E4" s="264"/>
    </row>
    <row r="5" spans="1:8" ht="20.100000000000001" customHeight="1">
      <c r="A5" s="264"/>
      <c r="B5" s="264"/>
      <c r="C5" s="264"/>
      <c r="D5" s="264"/>
      <c r="E5" s="264"/>
    </row>
    <row r="6" spans="1:8" ht="20.100000000000001" customHeight="1">
      <c r="A6" s="264"/>
      <c r="B6" s="264"/>
      <c r="C6" s="264"/>
      <c r="D6" s="264"/>
      <c r="E6" s="264"/>
    </row>
    <row r="7" spans="1:8" ht="20.100000000000001" customHeight="1">
      <c r="A7" s="264"/>
      <c r="B7" s="264"/>
      <c r="C7" s="264"/>
      <c r="D7" s="264"/>
      <c r="E7" s="264"/>
    </row>
    <row r="8" spans="1:8" ht="20.100000000000001" customHeight="1">
      <c r="A8" s="264"/>
      <c r="B8" s="264"/>
      <c r="C8" s="264"/>
      <c r="D8" s="264"/>
      <c r="E8" s="264"/>
    </row>
    <row r="9" spans="1:8" ht="20.100000000000001" customHeight="1">
      <c r="A9" s="264"/>
      <c r="B9" s="264"/>
      <c r="C9" s="264"/>
      <c r="D9" s="264"/>
      <c r="E9" s="264"/>
    </row>
    <row r="10" spans="1:8" ht="20.100000000000001" customHeight="1">
      <c r="A10" s="264"/>
      <c r="B10" s="264"/>
      <c r="C10" s="264"/>
      <c r="D10" s="264"/>
      <c r="E10" s="264"/>
    </row>
    <row r="11" spans="1:8" ht="20.100000000000001" customHeight="1">
      <c r="A11" s="264"/>
      <c r="B11" s="264"/>
      <c r="C11" s="264"/>
      <c r="D11" s="264"/>
      <c r="E11" s="264"/>
    </row>
    <row r="12" spans="1:8" ht="20.100000000000001" customHeight="1">
      <c r="A12" s="264"/>
      <c r="B12" s="264"/>
      <c r="C12" s="264"/>
      <c r="D12" s="264"/>
      <c r="E12" s="264"/>
    </row>
    <row r="13" spans="1:8" ht="20.100000000000001" customHeight="1">
      <c r="A13" s="264"/>
      <c r="B13" s="264"/>
      <c r="C13" s="264"/>
      <c r="D13" s="264"/>
      <c r="E13" s="264"/>
    </row>
    <row r="14" spans="1:8" ht="20.100000000000001" customHeight="1">
      <c r="A14" s="264"/>
      <c r="B14" s="264"/>
      <c r="C14" s="264"/>
      <c r="D14" s="264"/>
      <c r="E14" s="264"/>
    </row>
    <row r="15" spans="1:8" ht="20.100000000000001" customHeight="1">
      <c r="A15" s="264"/>
      <c r="B15" s="264"/>
      <c r="C15" s="264"/>
      <c r="D15" s="264"/>
      <c r="E15" s="264"/>
    </row>
    <row r="16" spans="1:8" ht="20.100000000000001" customHeight="1">
      <c r="A16" s="264"/>
      <c r="B16" s="264"/>
      <c r="C16" s="264"/>
      <c r="D16" s="264"/>
      <c r="E16" s="264"/>
    </row>
    <row r="17" spans="1:8" ht="20.100000000000001" customHeight="1">
      <c r="A17" s="264"/>
      <c r="B17" s="264"/>
      <c r="C17" s="264"/>
      <c r="D17" s="264"/>
      <c r="E17" s="264"/>
    </row>
    <row r="18" spans="1:8" ht="24.95" customHeight="1">
      <c r="A18" s="262" t="s">
        <v>38</v>
      </c>
      <c r="B18" s="262"/>
      <c r="C18" s="262"/>
      <c r="D18" s="262"/>
      <c r="E18" s="262"/>
      <c r="F18" s="262"/>
      <c r="G18" s="262"/>
      <c r="H18" s="262"/>
    </row>
    <row r="19" spans="1:8" ht="279.95" customHeight="1">
      <c r="A19" s="265"/>
      <c r="B19" s="266"/>
      <c r="C19" s="266"/>
      <c r="D19" s="266"/>
      <c r="E19" s="266"/>
      <c r="F19" s="266"/>
      <c r="G19" s="266"/>
      <c r="H19" s="266"/>
    </row>
    <row r="20" spans="1:8" ht="24.95" customHeight="1">
      <c r="A20" s="267" t="s">
        <v>39</v>
      </c>
      <c r="B20" s="267"/>
      <c r="C20" s="267"/>
      <c r="D20" s="267"/>
      <c r="E20" s="267"/>
      <c r="F20" s="267"/>
      <c r="G20" s="267"/>
      <c r="H20" s="267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40</v>
      </c>
      <c r="B22" s="66" t="s">
        <v>41</v>
      </c>
      <c r="C22" s="67"/>
      <c r="D22" s="68">
        <v>8.9</v>
      </c>
      <c r="E22" s="69"/>
      <c r="F22" s="69"/>
      <c r="G22" s="69"/>
      <c r="H22" s="70" t="s">
        <v>42</v>
      </c>
    </row>
    <row r="23" spans="1:8" ht="15.95" hidden="1" customHeight="1" thickBot="1">
      <c r="A23" s="137"/>
      <c r="B23" s="138" t="s">
        <v>43</v>
      </c>
      <c r="C23" s="139"/>
      <c r="D23" s="140">
        <v>8.3000000000000007</v>
      </c>
      <c r="E23" s="141"/>
      <c r="F23" s="141"/>
      <c r="G23" s="141"/>
      <c r="H23" s="142" t="s">
        <v>44</v>
      </c>
    </row>
    <row r="24" spans="1:8" s="98" customFormat="1" ht="15.95" customHeight="1">
      <c r="A24" s="143" t="s">
        <v>45</v>
      </c>
      <c r="B24" s="144"/>
      <c r="C24" s="145" t="s">
        <v>75</v>
      </c>
      <c r="D24" s="154">
        <v>500</v>
      </c>
      <c r="E24" s="146" t="s">
        <v>76</v>
      </c>
      <c r="F24" s="155">
        <v>700</v>
      </c>
      <c r="G24" s="147"/>
      <c r="H24" s="148"/>
    </row>
    <row r="25" spans="1:8" s="98" customFormat="1" ht="15.75">
      <c r="A25" s="101" t="s">
        <v>46</v>
      </c>
      <c r="B25" s="102"/>
      <c r="C25" s="97" t="s">
        <v>47</v>
      </c>
      <c r="D25" s="259">
        <f>通気面接計算シート!D7</f>
        <v>450.8</v>
      </c>
      <c r="E25" s="259"/>
      <c r="F25" s="259"/>
      <c r="G25" s="259"/>
      <c r="H25" s="166" t="s">
        <v>82</v>
      </c>
    </row>
    <row r="26" spans="1:8" s="98" customFormat="1" ht="14.25">
      <c r="A26" s="101" t="s">
        <v>49</v>
      </c>
      <c r="B26" s="102"/>
      <c r="C26" s="97"/>
      <c r="D26" s="259">
        <f>通気面接計算シート!D8</f>
        <v>15.411965811965814</v>
      </c>
      <c r="E26" s="259"/>
      <c r="F26" s="259"/>
      <c r="G26" s="259"/>
      <c r="H26" s="166" t="s">
        <v>50</v>
      </c>
    </row>
    <row r="27" spans="1:8" s="98" customFormat="1" ht="14.25" hidden="1">
      <c r="A27" s="101" t="s">
        <v>51</v>
      </c>
      <c r="B27" s="102"/>
      <c r="C27" s="97" t="s">
        <v>52</v>
      </c>
      <c r="D27" s="108">
        <v>1.88</v>
      </c>
      <c r="E27" s="107"/>
      <c r="F27" s="107"/>
      <c r="G27" s="107"/>
      <c r="H27" s="105"/>
    </row>
    <row r="28" spans="1:8" s="98" customFormat="1" ht="15.75" hidden="1">
      <c r="A28" s="101" t="s">
        <v>53</v>
      </c>
      <c r="B28" s="102"/>
      <c r="C28" s="97" t="s">
        <v>54</v>
      </c>
      <c r="D28" s="106">
        <f>D29/0.7</f>
        <v>320.71200000000005</v>
      </c>
      <c r="E28" s="107"/>
      <c r="F28" s="107"/>
      <c r="G28" s="107"/>
      <c r="H28" s="105" t="s">
        <v>83</v>
      </c>
    </row>
    <row r="29" spans="1:8" s="98" customFormat="1" ht="16.5" thickBot="1">
      <c r="A29" s="109" t="s">
        <v>56</v>
      </c>
      <c r="B29" s="110"/>
      <c r="C29" s="111" t="s">
        <v>57</v>
      </c>
      <c r="D29" s="167">
        <f>D25*D30</f>
        <v>224.4984</v>
      </c>
      <c r="E29" s="168"/>
      <c r="F29" s="168"/>
      <c r="G29" s="168"/>
      <c r="H29" s="169" t="s">
        <v>84</v>
      </c>
    </row>
    <row r="30" spans="1:8" s="98" customFormat="1" ht="14.25" hidden="1">
      <c r="A30" s="99" t="s">
        <v>59</v>
      </c>
      <c r="B30" s="73"/>
      <c r="C30" s="100" t="s">
        <v>60</v>
      </c>
      <c r="D30" s="103">
        <v>0.498</v>
      </c>
      <c r="E30" s="104"/>
      <c r="F30" s="104"/>
      <c r="G30" s="104"/>
      <c r="H30" s="165"/>
    </row>
    <row r="31" spans="1:8" s="98" customFormat="1" ht="21" hidden="1" thickBot="1">
      <c r="A31" s="109" t="s">
        <v>61</v>
      </c>
      <c r="B31" s="110"/>
      <c r="C31" s="111" t="s">
        <v>62</v>
      </c>
      <c r="D31" s="112">
        <f>D28</f>
        <v>320.71200000000005</v>
      </c>
      <c r="E31" s="113" t="s">
        <v>63</v>
      </c>
      <c r="F31" s="114">
        <f>ROUND(1/D27,2)</f>
        <v>0.53</v>
      </c>
      <c r="G31" s="115"/>
      <c r="H31" s="116" t="s">
        <v>85</v>
      </c>
    </row>
    <row r="32" spans="1:8" s="98" customFormat="1" ht="17.25" hidden="1">
      <c r="A32" s="99" t="s">
        <v>65</v>
      </c>
      <c r="B32" s="73"/>
      <c r="C32" s="100" t="s">
        <v>66</v>
      </c>
      <c r="D32" s="117">
        <f>ROUND(D28/(D25*0.0001)/3600,2)</f>
        <v>1.98</v>
      </c>
      <c r="E32" s="118"/>
      <c r="F32" s="119"/>
      <c r="G32" s="119"/>
      <c r="H32" s="120" t="s">
        <v>67</v>
      </c>
    </row>
    <row r="33" spans="1:8" s="98" customFormat="1" ht="18" hidden="1" thickBot="1">
      <c r="A33" s="109" t="s">
        <v>68</v>
      </c>
      <c r="B33" s="110"/>
      <c r="C33" s="111" t="s">
        <v>69</v>
      </c>
      <c r="D33" s="121">
        <f>ROUND((2*9.8)/((353/(273+D23))*D32^2),2)</f>
        <v>3.98</v>
      </c>
      <c r="E33" s="122"/>
      <c r="F33" s="123"/>
      <c r="G33" s="123"/>
      <c r="H33" s="124"/>
    </row>
    <row r="34" spans="1:8" s="98" customFormat="1" ht="17.25">
      <c r="A34" s="131"/>
      <c r="B34" s="132"/>
      <c r="C34" s="133"/>
      <c r="D34" s="131"/>
      <c r="E34" s="134"/>
      <c r="F34" s="135"/>
      <c r="G34" s="135"/>
      <c r="H34" s="136"/>
    </row>
    <row r="35" spans="1:8" s="98" customFormat="1" ht="13.5" customHeight="1">
      <c r="A35" s="131"/>
      <c r="B35" s="132"/>
      <c r="C35" s="133"/>
      <c r="D35" s="131"/>
      <c r="E35" s="134"/>
      <c r="F35" s="135"/>
      <c r="G35" s="135"/>
      <c r="H35" s="136"/>
    </row>
    <row r="36" spans="1:8" s="98" customFormat="1" ht="17.25">
      <c r="A36" s="131"/>
      <c r="B36" s="132"/>
      <c r="C36" s="133"/>
      <c r="D36" s="131"/>
      <c r="E36" s="134"/>
      <c r="F36" s="135"/>
      <c r="G36" s="135"/>
      <c r="H36" s="136"/>
    </row>
    <row r="37" spans="1:8" s="98" customFormat="1" ht="17.25">
      <c r="A37" s="131"/>
      <c r="B37" s="132"/>
      <c r="C37" s="133"/>
      <c r="D37" s="131"/>
      <c r="E37" s="134"/>
      <c r="F37" s="135"/>
      <c r="G37" s="135"/>
      <c r="H37" s="136"/>
    </row>
    <row r="38" spans="1:8">
      <c r="A38" s="260" t="s">
        <v>70</v>
      </c>
      <c r="B38" s="260"/>
      <c r="C38" s="260"/>
      <c r="D38" s="260"/>
      <c r="E38" s="260"/>
      <c r="F38" s="260"/>
      <c r="G38" s="261" t="s">
        <v>71</v>
      </c>
      <c r="H38" s="261"/>
    </row>
    <row r="40" spans="1:8" s="63" customFormat="1"/>
    <row r="41" spans="1:8" s="158" customFormat="1"/>
    <row r="42" spans="1:8" s="158" customFormat="1" ht="14.25">
      <c r="A42" s="159" t="s">
        <v>81</v>
      </c>
      <c r="B42" s="160">
        <v>0</v>
      </c>
      <c r="C42" s="161">
        <v>10</v>
      </c>
      <c r="D42" s="161">
        <v>20</v>
      </c>
      <c r="E42" s="161">
        <v>30</v>
      </c>
      <c r="F42" s="161">
        <v>40</v>
      </c>
      <c r="G42" s="161">
        <v>50</v>
      </c>
      <c r="H42" s="161">
        <v>60</v>
      </c>
    </row>
    <row r="43" spans="1:8" s="158" customFormat="1" ht="15.75">
      <c r="A43" s="159" t="s">
        <v>87</v>
      </c>
      <c r="B43" s="162">
        <f>$D$28*(B42/9.8)^(1/$D$27)</f>
        <v>0</v>
      </c>
      <c r="C43" s="162">
        <f t="shared" ref="C43:H43" si="0">$D$28*(C42/9.8)^(1/$D$27)</f>
        <v>324.17699420932888</v>
      </c>
      <c r="D43" s="162">
        <f t="shared" si="0"/>
        <v>468.71033445223361</v>
      </c>
      <c r="E43" s="162">
        <f t="shared" si="0"/>
        <v>581.52727982538488</v>
      </c>
      <c r="F43" s="162">
        <f t="shared" si="0"/>
        <v>677.68343080035459</v>
      </c>
      <c r="G43" s="162">
        <f t="shared" si="0"/>
        <v>763.08821533962794</v>
      </c>
      <c r="H43" s="162">
        <f t="shared" si="0"/>
        <v>840.79947278445718</v>
      </c>
    </row>
    <row r="44" spans="1:8" s="158" customFormat="1"/>
    <row r="45" spans="1:8" s="158" customFormat="1">
      <c r="A45" s="163" t="s">
        <v>72</v>
      </c>
    </row>
    <row r="46" spans="1:8">
      <c r="A46" s="92"/>
    </row>
  </sheetData>
  <sheetProtection selectLockedCells="1"/>
  <mergeCells count="10">
    <mergeCell ref="D25:G25"/>
    <mergeCell ref="D26:G26"/>
    <mergeCell ref="A38:F38"/>
    <mergeCell ref="G38:H38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showRowColHeaders="0" tabSelected="1" zoomScaleNormal="100" workbookViewId="0">
      <selection activeCell="D21" sqref="D21"/>
    </sheetView>
  </sheetViews>
  <sheetFormatPr defaultRowHeight="13.5"/>
  <cols>
    <col min="1" max="1" width="15.625" style="192" customWidth="1"/>
    <col min="2" max="2" width="14.625" style="192" customWidth="1"/>
    <col min="3" max="8" width="9.125" style="192" customWidth="1"/>
    <col min="9" max="10" width="9" style="192"/>
    <col min="11" max="11" width="5.125" style="192" bestFit="1" customWidth="1"/>
    <col min="12" max="15" width="6.125" style="192" bestFit="1" customWidth="1"/>
    <col min="16" max="256" width="9" style="192"/>
    <col min="257" max="258" width="18.125" style="192" customWidth="1"/>
    <col min="259" max="264" width="8.625" style="192" customWidth="1"/>
    <col min="265" max="266" width="9" style="192"/>
    <col min="267" max="267" width="5.125" style="192" bestFit="1" customWidth="1"/>
    <col min="268" max="271" width="6.125" style="192" bestFit="1" customWidth="1"/>
    <col min="272" max="512" width="9" style="192"/>
    <col min="513" max="514" width="18.125" style="192" customWidth="1"/>
    <col min="515" max="520" width="8.625" style="192" customWidth="1"/>
    <col min="521" max="522" width="9" style="192"/>
    <col min="523" max="523" width="5.125" style="192" bestFit="1" customWidth="1"/>
    <col min="524" max="527" width="6.125" style="192" bestFit="1" customWidth="1"/>
    <col min="528" max="768" width="9" style="192"/>
    <col min="769" max="770" width="18.125" style="192" customWidth="1"/>
    <col min="771" max="776" width="8.625" style="192" customWidth="1"/>
    <col min="777" max="778" width="9" style="192"/>
    <col min="779" max="779" width="5.125" style="192" bestFit="1" customWidth="1"/>
    <col min="780" max="783" width="6.125" style="192" bestFit="1" customWidth="1"/>
    <col min="784" max="1024" width="9" style="192"/>
    <col min="1025" max="1026" width="18.125" style="192" customWidth="1"/>
    <col min="1027" max="1032" width="8.625" style="192" customWidth="1"/>
    <col min="1033" max="1034" width="9" style="192"/>
    <col min="1035" max="1035" width="5.125" style="192" bestFit="1" customWidth="1"/>
    <col min="1036" max="1039" width="6.125" style="192" bestFit="1" customWidth="1"/>
    <col min="1040" max="1280" width="9" style="192"/>
    <col min="1281" max="1282" width="18.125" style="192" customWidth="1"/>
    <col min="1283" max="1288" width="8.625" style="192" customWidth="1"/>
    <col min="1289" max="1290" width="9" style="192"/>
    <col min="1291" max="1291" width="5.125" style="192" bestFit="1" customWidth="1"/>
    <col min="1292" max="1295" width="6.125" style="192" bestFit="1" customWidth="1"/>
    <col min="1296" max="1536" width="9" style="192"/>
    <col min="1537" max="1538" width="18.125" style="192" customWidth="1"/>
    <col min="1539" max="1544" width="8.625" style="192" customWidth="1"/>
    <col min="1545" max="1546" width="9" style="192"/>
    <col min="1547" max="1547" width="5.125" style="192" bestFit="1" customWidth="1"/>
    <col min="1548" max="1551" width="6.125" style="192" bestFit="1" customWidth="1"/>
    <col min="1552" max="1792" width="9" style="192"/>
    <col min="1793" max="1794" width="18.125" style="192" customWidth="1"/>
    <col min="1795" max="1800" width="8.625" style="192" customWidth="1"/>
    <col min="1801" max="1802" width="9" style="192"/>
    <col min="1803" max="1803" width="5.125" style="192" bestFit="1" customWidth="1"/>
    <col min="1804" max="1807" width="6.125" style="192" bestFit="1" customWidth="1"/>
    <col min="1808" max="2048" width="9" style="192"/>
    <col min="2049" max="2050" width="18.125" style="192" customWidth="1"/>
    <col min="2051" max="2056" width="8.625" style="192" customWidth="1"/>
    <col min="2057" max="2058" width="9" style="192"/>
    <col min="2059" max="2059" width="5.125" style="192" bestFit="1" customWidth="1"/>
    <col min="2060" max="2063" width="6.125" style="192" bestFit="1" customWidth="1"/>
    <col min="2064" max="2304" width="9" style="192"/>
    <col min="2305" max="2306" width="18.125" style="192" customWidth="1"/>
    <col min="2307" max="2312" width="8.625" style="192" customWidth="1"/>
    <col min="2313" max="2314" width="9" style="192"/>
    <col min="2315" max="2315" width="5.125" style="192" bestFit="1" customWidth="1"/>
    <col min="2316" max="2319" width="6.125" style="192" bestFit="1" customWidth="1"/>
    <col min="2320" max="2560" width="9" style="192"/>
    <col min="2561" max="2562" width="18.125" style="192" customWidth="1"/>
    <col min="2563" max="2568" width="8.625" style="192" customWidth="1"/>
    <col min="2569" max="2570" width="9" style="192"/>
    <col min="2571" max="2571" width="5.125" style="192" bestFit="1" customWidth="1"/>
    <col min="2572" max="2575" width="6.125" style="192" bestFit="1" customWidth="1"/>
    <col min="2576" max="2816" width="9" style="192"/>
    <col min="2817" max="2818" width="18.125" style="192" customWidth="1"/>
    <col min="2819" max="2824" width="8.625" style="192" customWidth="1"/>
    <col min="2825" max="2826" width="9" style="192"/>
    <col min="2827" max="2827" width="5.125" style="192" bestFit="1" customWidth="1"/>
    <col min="2828" max="2831" width="6.125" style="192" bestFit="1" customWidth="1"/>
    <col min="2832" max="3072" width="9" style="192"/>
    <col min="3073" max="3074" width="18.125" style="192" customWidth="1"/>
    <col min="3075" max="3080" width="8.625" style="192" customWidth="1"/>
    <col min="3081" max="3082" width="9" style="192"/>
    <col min="3083" max="3083" width="5.125" style="192" bestFit="1" customWidth="1"/>
    <col min="3084" max="3087" width="6.125" style="192" bestFit="1" customWidth="1"/>
    <col min="3088" max="3328" width="9" style="192"/>
    <col min="3329" max="3330" width="18.125" style="192" customWidth="1"/>
    <col min="3331" max="3336" width="8.625" style="192" customWidth="1"/>
    <col min="3337" max="3338" width="9" style="192"/>
    <col min="3339" max="3339" width="5.125" style="192" bestFit="1" customWidth="1"/>
    <col min="3340" max="3343" width="6.125" style="192" bestFit="1" customWidth="1"/>
    <col min="3344" max="3584" width="9" style="192"/>
    <col min="3585" max="3586" width="18.125" style="192" customWidth="1"/>
    <col min="3587" max="3592" width="8.625" style="192" customWidth="1"/>
    <col min="3593" max="3594" width="9" style="192"/>
    <col min="3595" max="3595" width="5.125" style="192" bestFit="1" customWidth="1"/>
    <col min="3596" max="3599" width="6.125" style="192" bestFit="1" customWidth="1"/>
    <col min="3600" max="3840" width="9" style="192"/>
    <col min="3841" max="3842" width="18.125" style="192" customWidth="1"/>
    <col min="3843" max="3848" width="8.625" style="192" customWidth="1"/>
    <col min="3849" max="3850" width="9" style="192"/>
    <col min="3851" max="3851" width="5.125" style="192" bestFit="1" customWidth="1"/>
    <col min="3852" max="3855" width="6.125" style="192" bestFit="1" customWidth="1"/>
    <col min="3856" max="4096" width="9" style="192"/>
    <col min="4097" max="4098" width="18.125" style="192" customWidth="1"/>
    <col min="4099" max="4104" width="8.625" style="192" customWidth="1"/>
    <col min="4105" max="4106" width="9" style="192"/>
    <col min="4107" max="4107" width="5.125" style="192" bestFit="1" customWidth="1"/>
    <col min="4108" max="4111" width="6.125" style="192" bestFit="1" customWidth="1"/>
    <col min="4112" max="4352" width="9" style="192"/>
    <col min="4353" max="4354" width="18.125" style="192" customWidth="1"/>
    <col min="4355" max="4360" width="8.625" style="192" customWidth="1"/>
    <col min="4361" max="4362" width="9" style="192"/>
    <col min="4363" max="4363" width="5.125" style="192" bestFit="1" customWidth="1"/>
    <col min="4364" max="4367" width="6.125" style="192" bestFit="1" customWidth="1"/>
    <col min="4368" max="4608" width="9" style="192"/>
    <col min="4609" max="4610" width="18.125" style="192" customWidth="1"/>
    <col min="4611" max="4616" width="8.625" style="192" customWidth="1"/>
    <col min="4617" max="4618" width="9" style="192"/>
    <col min="4619" max="4619" width="5.125" style="192" bestFit="1" customWidth="1"/>
    <col min="4620" max="4623" width="6.125" style="192" bestFit="1" customWidth="1"/>
    <col min="4624" max="4864" width="9" style="192"/>
    <col min="4865" max="4866" width="18.125" style="192" customWidth="1"/>
    <col min="4867" max="4872" width="8.625" style="192" customWidth="1"/>
    <col min="4873" max="4874" width="9" style="192"/>
    <col min="4875" max="4875" width="5.125" style="192" bestFit="1" customWidth="1"/>
    <col min="4876" max="4879" width="6.125" style="192" bestFit="1" customWidth="1"/>
    <col min="4880" max="5120" width="9" style="192"/>
    <col min="5121" max="5122" width="18.125" style="192" customWidth="1"/>
    <col min="5123" max="5128" width="8.625" style="192" customWidth="1"/>
    <col min="5129" max="5130" width="9" style="192"/>
    <col min="5131" max="5131" width="5.125" style="192" bestFit="1" customWidth="1"/>
    <col min="5132" max="5135" width="6.125" style="192" bestFit="1" customWidth="1"/>
    <col min="5136" max="5376" width="9" style="192"/>
    <col min="5377" max="5378" width="18.125" style="192" customWidth="1"/>
    <col min="5379" max="5384" width="8.625" style="192" customWidth="1"/>
    <col min="5385" max="5386" width="9" style="192"/>
    <col min="5387" max="5387" width="5.125" style="192" bestFit="1" customWidth="1"/>
    <col min="5388" max="5391" width="6.125" style="192" bestFit="1" customWidth="1"/>
    <col min="5392" max="5632" width="9" style="192"/>
    <col min="5633" max="5634" width="18.125" style="192" customWidth="1"/>
    <col min="5635" max="5640" width="8.625" style="192" customWidth="1"/>
    <col min="5641" max="5642" width="9" style="192"/>
    <col min="5643" max="5643" width="5.125" style="192" bestFit="1" customWidth="1"/>
    <col min="5644" max="5647" width="6.125" style="192" bestFit="1" customWidth="1"/>
    <col min="5648" max="5888" width="9" style="192"/>
    <col min="5889" max="5890" width="18.125" style="192" customWidth="1"/>
    <col min="5891" max="5896" width="8.625" style="192" customWidth="1"/>
    <col min="5897" max="5898" width="9" style="192"/>
    <col min="5899" max="5899" width="5.125" style="192" bestFit="1" customWidth="1"/>
    <col min="5900" max="5903" width="6.125" style="192" bestFit="1" customWidth="1"/>
    <col min="5904" max="6144" width="9" style="192"/>
    <col min="6145" max="6146" width="18.125" style="192" customWidth="1"/>
    <col min="6147" max="6152" width="8.625" style="192" customWidth="1"/>
    <col min="6153" max="6154" width="9" style="192"/>
    <col min="6155" max="6155" width="5.125" style="192" bestFit="1" customWidth="1"/>
    <col min="6156" max="6159" width="6.125" style="192" bestFit="1" customWidth="1"/>
    <col min="6160" max="6400" width="9" style="192"/>
    <col min="6401" max="6402" width="18.125" style="192" customWidth="1"/>
    <col min="6403" max="6408" width="8.625" style="192" customWidth="1"/>
    <col min="6409" max="6410" width="9" style="192"/>
    <col min="6411" max="6411" width="5.125" style="192" bestFit="1" customWidth="1"/>
    <col min="6412" max="6415" width="6.125" style="192" bestFit="1" customWidth="1"/>
    <col min="6416" max="6656" width="9" style="192"/>
    <col min="6657" max="6658" width="18.125" style="192" customWidth="1"/>
    <col min="6659" max="6664" width="8.625" style="192" customWidth="1"/>
    <col min="6665" max="6666" width="9" style="192"/>
    <col min="6667" max="6667" width="5.125" style="192" bestFit="1" customWidth="1"/>
    <col min="6668" max="6671" width="6.125" style="192" bestFit="1" customWidth="1"/>
    <col min="6672" max="6912" width="9" style="192"/>
    <col min="6913" max="6914" width="18.125" style="192" customWidth="1"/>
    <col min="6915" max="6920" width="8.625" style="192" customWidth="1"/>
    <col min="6921" max="6922" width="9" style="192"/>
    <col min="6923" max="6923" width="5.125" style="192" bestFit="1" customWidth="1"/>
    <col min="6924" max="6927" width="6.125" style="192" bestFit="1" customWidth="1"/>
    <col min="6928" max="7168" width="9" style="192"/>
    <col min="7169" max="7170" width="18.125" style="192" customWidth="1"/>
    <col min="7171" max="7176" width="8.625" style="192" customWidth="1"/>
    <col min="7177" max="7178" width="9" style="192"/>
    <col min="7179" max="7179" width="5.125" style="192" bestFit="1" customWidth="1"/>
    <col min="7180" max="7183" width="6.125" style="192" bestFit="1" customWidth="1"/>
    <col min="7184" max="7424" width="9" style="192"/>
    <col min="7425" max="7426" width="18.125" style="192" customWidth="1"/>
    <col min="7427" max="7432" width="8.625" style="192" customWidth="1"/>
    <col min="7433" max="7434" width="9" style="192"/>
    <col min="7435" max="7435" width="5.125" style="192" bestFit="1" customWidth="1"/>
    <col min="7436" max="7439" width="6.125" style="192" bestFit="1" customWidth="1"/>
    <col min="7440" max="7680" width="9" style="192"/>
    <col min="7681" max="7682" width="18.125" style="192" customWidth="1"/>
    <col min="7683" max="7688" width="8.625" style="192" customWidth="1"/>
    <col min="7689" max="7690" width="9" style="192"/>
    <col min="7691" max="7691" width="5.125" style="192" bestFit="1" customWidth="1"/>
    <col min="7692" max="7695" width="6.125" style="192" bestFit="1" customWidth="1"/>
    <col min="7696" max="7936" width="9" style="192"/>
    <col min="7937" max="7938" width="18.125" style="192" customWidth="1"/>
    <col min="7939" max="7944" width="8.625" style="192" customWidth="1"/>
    <col min="7945" max="7946" width="9" style="192"/>
    <col min="7947" max="7947" width="5.125" style="192" bestFit="1" customWidth="1"/>
    <col min="7948" max="7951" width="6.125" style="192" bestFit="1" customWidth="1"/>
    <col min="7952" max="8192" width="9" style="192"/>
    <col min="8193" max="8194" width="18.125" style="192" customWidth="1"/>
    <col min="8195" max="8200" width="8.625" style="192" customWidth="1"/>
    <col min="8201" max="8202" width="9" style="192"/>
    <col min="8203" max="8203" width="5.125" style="192" bestFit="1" customWidth="1"/>
    <col min="8204" max="8207" width="6.125" style="192" bestFit="1" customWidth="1"/>
    <col min="8208" max="8448" width="9" style="192"/>
    <col min="8449" max="8450" width="18.125" style="192" customWidth="1"/>
    <col min="8451" max="8456" width="8.625" style="192" customWidth="1"/>
    <col min="8457" max="8458" width="9" style="192"/>
    <col min="8459" max="8459" width="5.125" style="192" bestFit="1" customWidth="1"/>
    <col min="8460" max="8463" width="6.125" style="192" bestFit="1" customWidth="1"/>
    <col min="8464" max="8704" width="9" style="192"/>
    <col min="8705" max="8706" width="18.125" style="192" customWidth="1"/>
    <col min="8707" max="8712" width="8.625" style="192" customWidth="1"/>
    <col min="8713" max="8714" width="9" style="192"/>
    <col min="8715" max="8715" width="5.125" style="192" bestFit="1" customWidth="1"/>
    <col min="8716" max="8719" width="6.125" style="192" bestFit="1" customWidth="1"/>
    <col min="8720" max="8960" width="9" style="192"/>
    <col min="8961" max="8962" width="18.125" style="192" customWidth="1"/>
    <col min="8963" max="8968" width="8.625" style="192" customWidth="1"/>
    <col min="8969" max="8970" width="9" style="192"/>
    <col min="8971" max="8971" width="5.125" style="192" bestFit="1" customWidth="1"/>
    <col min="8972" max="8975" width="6.125" style="192" bestFit="1" customWidth="1"/>
    <col min="8976" max="9216" width="9" style="192"/>
    <col min="9217" max="9218" width="18.125" style="192" customWidth="1"/>
    <col min="9219" max="9224" width="8.625" style="192" customWidth="1"/>
    <col min="9225" max="9226" width="9" style="192"/>
    <col min="9227" max="9227" width="5.125" style="192" bestFit="1" customWidth="1"/>
    <col min="9228" max="9231" width="6.125" style="192" bestFit="1" customWidth="1"/>
    <col min="9232" max="9472" width="9" style="192"/>
    <col min="9473" max="9474" width="18.125" style="192" customWidth="1"/>
    <col min="9475" max="9480" width="8.625" style="192" customWidth="1"/>
    <col min="9481" max="9482" width="9" style="192"/>
    <col min="9483" max="9483" width="5.125" style="192" bestFit="1" customWidth="1"/>
    <col min="9484" max="9487" width="6.125" style="192" bestFit="1" customWidth="1"/>
    <col min="9488" max="9728" width="9" style="192"/>
    <col min="9729" max="9730" width="18.125" style="192" customWidth="1"/>
    <col min="9731" max="9736" width="8.625" style="192" customWidth="1"/>
    <col min="9737" max="9738" width="9" style="192"/>
    <col min="9739" max="9739" width="5.125" style="192" bestFit="1" customWidth="1"/>
    <col min="9740" max="9743" width="6.125" style="192" bestFit="1" customWidth="1"/>
    <col min="9744" max="9984" width="9" style="192"/>
    <col min="9985" max="9986" width="18.125" style="192" customWidth="1"/>
    <col min="9987" max="9992" width="8.625" style="192" customWidth="1"/>
    <col min="9993" max="9994" width="9" style="192"/>
    <col min="9995" max="9995" width="5.125" style="192" bestFit="1" customWidth="1"/>
    <col min="9996" max="9999" width="6.125" style="192" bestFit="1" customWidth="1"/>
    <col min="10000" max="10240" width="9" style="192"/>
    <col min="10241" max="10242" width="18.125" style="192" customWidth="1"/>
    <col min="10243" max="10248" width="8.625" style="192" customWidth="1"/>
    <col min="10249" max="10250" width="9" style="192"/>
    <col min="10251" max="10251" width="5.125" style="192" bestFit="1" customWidth="1"/>
    <col min="10252" max="10255" width="6.125" style="192" bestFit="1" customWidth="1"/>
    <col min="10256" max="10496" width="9" style="192"/>
    <col min="10497" max="10498" width="18.125" style="192" customWidth="1"/>
    <col min="10499" max="10504" width="8.625" style="192" customWidth="1"/>
    <col min="10505" max="10506" width="9" style="192"/>
    <col min="10507" max="10507" width="5.125" style="192" bestFit="1" customWidth="1"/>
    <col min="10508" max="10511" width="6.125" style="192" bestFit="1" customWidth="1"/>
    <col min="10512" max="10752" width="9" style="192"/>
    <col min="10753" max="10754" width="18.125" style="192" customWidth="1"/>
    <col min="10755" max="10760" width="8.625" style="192" customWidth="1"/>
    <col min="10761" max="10762" width="9" style="192"/>
    <col min="10763" max="10763" width="5.125" style="192" bestFit="1" customWidth="1"/>
    <col min="10764" max="10767" width="6.125" style="192" bestFit="1" customWidth="1"/>
    <col min="10768" max="11008" width="9" style="192"/>
    <col min="11009" max="11010" width="18.125" style="192" customWidth="1"/>
    <col min="11011" max="11016" width="8.625" style="192" customWidth="1"/>
    <col min="11017" max="11018" width="9" style="192"/>
    <col min="11019" max="11019" width="5.125" style="192" bestFit="1" customWidth="1"/>
    <col min="11020" max="11023" width="6.125" style="192" bestFit="1" customWidth="1"/>
    <col min="11024" max="11264" width="9" style="192"/>
    <col min="11265" max="11266" width="18.125" style="192" customWidth="1"/>
    <col min="11267" max="11272" width="8.625" style="192" customWidth="1"/>
    <col min="11273" max="11274" width="9" style="192"/>
    <col min="11275" max="11275" width="5.125" style="192" bestFit="1" customWidth="1"/>
    <col min="11276" max="11279" width="6.125" style="192" bestFit="1" customWidth="1"/>
    <col min="11280" max="11520" width="9" style="192"/>
    <col min="11521" max="11522" width="18.125" style="192" customWidth="1"/>
    <col min="11523" max="11528" width="8.625" style="192" customWidth="1"/>
    <col min="11529" max="11530" width="9" style="192"/>
    <col min="11531" max="11531" width="5.125" style="192" bestFit="1" customWidth="1"/>
    <col min="11532" max="11535" width="6.125" style="192" bestFit="1" customWidth="1"/>
    <col min="11536" max="11776" width="9" style="192"/>
    <col min="11777" max="11778" width="18.125" style="192" customWidth="1"/>
    <col min="11779" max="11784" width="8.625" style="192" customWidth="1"/>
    <col min="11785" max="11786" width="9" style="192"/>
    <col min="11787" max="11787" width="5.125" style="192" bestFit="1" customWidth="1"/>
    <col min="11788" max="11791" width="6.125" style="192" bestFit="1" customWidth="1"/>
    <col min="11792" max="12032" width="9" style="192"/>
    <col min="12033" max="12034" width="18.125" style="192" customWidth="1"/>
    <col min="12035" max="12040" width="8.625" style="192" customWidth="1"/>
    <col min="12041" max="12042" width="9" style="192"/>
    <col min="12043" max="12043" width="5.125" style="192" bestFit="1" customWidth="1"/>
    <col min="12044" max="12047" width="6.125" style="192" bestFit="1" customWidth="1"/>
    <col min="12048" max="12288" width="9" style="192"/>
    <col min="12289" max="12290" width="18.125" style="192" customWidth="1"/>
    <col min="12291" max="12296" width="8.625" style="192" customWidth="1"/>
    <col min="12297" max="12298" width="9" style="192"/>
    <col min="12299" max="12299" width="5.125" style="192" bestFit="1" customWidth="1"/>
    <col min="12300" max="12303" width="6.125" style="192" bestFit="1" customWidth="1"/>
    <col min="12304" max="12544" width="9" style="192"/>
    <col min="12545" max="12546" width="18.125" style="192" customWidth="1"/>
    <col min="12547" max="12552" width="8.625" style="192" customWidth="1"/>
    <col min="12553" max="12554" width="9" style="192"/>
    <col min="12555" max="12555" width="5.125" style="192" bestFit="1" customWidth="1"/>
    <col min="12556" max="12559" width="6.125" style="192" bestFit="1" customWidth="1"/>
    <col min="12560" max="12800" width="9" style="192"/>
    <col min="12801" max="12802" width="18.125" style="192" customWidth="1"/>
    <col min="12803" max="12808" width="8.625" style="192" customWidth="1"/>
    <col min="12809" max="12810" width="9" style="192"/>
    <col min="12811" max="12811" width="5.125" style="192" bestFit="1" customWidth="1"/>
    <col min="12812" max="12815" width="6.125" style="192" bestFit="1" customWidth="1"/>
    <col min="12816" max="13056" width="9" style="192"/>
    <col min="13057" max="13058" width="18.125" style="192" customWidth="1"/>
    <col min="13059" max="13064" width="8.625" style="192" customWidth="1"/>
    <col min="13065" max="13066" width="9" style="192"/>
    <col min="13067" max="13067" width="5.125" style="192" bestFit="1" customWidth="1"/>
    <col min="13068" max="13071" width="6.125" style="192" bestFit="1" customWidth="1"/>
    <col min="13072" max="13312" width="9" style="192"/>
    <col min="13313" max="13314" width="18.125" style="192" customWidth="1"/>
    <col min="13315" max="13320" width="8.625" style="192" customWidth="1"/>
    <col min="13321" max="13322" width="9" style="192"/>
    <col min="13323" max="13323" width="5.125" style="192" bestFit="1" customWidth="1"/>
    <col min="13324" max="13327" width="6.125" style="192" bestFit="1" customWidth="1"/>
    <col min="13328" max="13568" width="9" style="192"/>
    <col min="13569" max="13570" width="18.125" style="192" customWidth="1"/>
    <col min="13571" max="13576" width="8.625" style="192" customWidth="1"/>
    <col min="13577" max="13578" width="9" style="192"/>
    <col min="13579" max="13579" width="5.125" style="192" bestFit="1" customWidth="1"/>
    <col min="13580" max="13583" width="6.125" style="192" bestFit="1" customWidth="1"/>
    <col min="13584" max="13824" width="9" style="192"/>
    <col min="13825" max="13826" width="18.125" style="192" customWidth="1"/>
    <col min="13827" max="13832" width="8.625" style="192" customWidth="1"/>
    <col min="13833" max="13834" width="9" style="192"/>
    <col min="13835" max="13835" width="5.125" style="192" bestFit="1" customWidth="1"/>
    <col min="13836" max="13839" width="6.125" style="192" bestFit="1" customWidth="1"/>
    <col min="13840" max="14080" width="9" style="192"/>
    <col min="14081" max="14082" width="18.125" style="192" customWidth="1"/>
    <col min="14083" max="14088" width="8.625" style="192" customWidth="1"/>
    <col min="14089" max="14090" width="9" style="192"/>
    <col min="14091" max="14091" width="5.125" style="192" bestFit="1" customWidth="1"/>
    <col min="14092" max="14095" width="6.125" style="192" bestFit="1" customWidth="1"/>
    <col min="14096" max="14336" width="9" style="192"/>
    <col min="14337" max="14338" width="18.125" style="192" customWidth="1"/>
    <col min="14339" max="14344" width="8.625" style="192" customWidth="1"/>
    <col min="14345" max="14346" width="9" style="192"/>
    <col min="14347" max="14347" width="5.125" style="192" bestFit="1" customWidth="1"/>
    <col min="14348" max="14351" width="6.125" style="192" bestFit="1" customWidth="1"/>
    <col min="14352" max="14592" width="9" style="192"/>
    <col min="14593" max="14594" width="18.125" style="192" customWidth="1"/>
    <col min="14595" max="14600" width="8.625" style="192" customWidth="1"/>
    <col min="14601" max="14602" width="9" style="192"/>
    <col min="14603" max="14603" width="5.125" style="192" bestFit="1" customWidth="1"/>
    <col min="14604" max="14607" width="6.125" style="192" bestFit="1" customWidth="1"/>
    <col min="14608" max="14848" width="9" style="192"/>
    <col min="14849" max="14850" width="18.125" style="192" customWidth="1"/>
    <col min="14851" max="14856" width="8.625" style="192" customWidth="1"/>
    <col min="14857" max="14858" width="9" style="192"/>
    <col min="14859" max="14859" width="5.125" style="192" bestFit="1" customWidth="1"/>
    <col min="14860" max="14863" width="6.125" style="192" bestFit="1" customWidth="1"/>
    <col min="14864" max="15104" width="9" style="192"/>
    <col min="15105" max="15106" width="18.125" style="192" customWidth="1"/>
    <col min="15107" max="15112" width="8.625" style="192" customWidth="1"/>
    <col min="15113" max="15114" width="9" style="192"/>
    <col min="15115" max="15115" width="5.125" style="192" bestFit="1" customWidth="1"/>
    <col min="15116" max="15119" width="6.125" style="192" bestFit="1" customWidth="1"/>
    <col min="15120" max="15360" width="9" style="192"/>
    <col min="15361" max="15362" width="18.125" style="192" customWidth="1"/>
    <col min="15363" max="15368" width="8.625" style="192" customWidth="1"/>
    <col min="15369" max="15370" width="9" style="192"/>
    <col min="15371" max="15371" width="5.125" style="192" bestFit="1" customWidth="1"/>
    <col min="15372" max="15375" width="6.125" style="192" bestFit="1" customWidth="1"/>
    <col min="15376" max="15616" width="9" style="192"/>
    <col min="15617" max="15618" width="18.125" style="192" customWidth="1"/>
    <col min="15619" max="15624" width="8.625" style="192" customWidth="1"/>
    <col min="15625" max="15626" width="9" style="192"/>
    <col min="15627" max="15627" width="5.125" style="192" bestFit="1" customWidth="1"/>
    <col min="15628" max="15631" width="6.125" style="192" bestFit="1" customWidth="1"/>
    <col min="15632" max="15872" width="9" style="192"/>
    <col min="15873" max="15874" width="18.125" style="192" customWidth="1"/>
    <col min="15875" max="15880" width="8.625" style="192" customWidth="1"/>
    <col min="15881" max="15882" width="9" style="192"/>
    <col min="15883" max="15883" width="5.125" style="192" bestFit="1" customWidth="1"/>
    <col min="15884" max="15887" width="6.125" style="192" bestFit="1" customWidth="1"/>
    <col min="15888" max="16128" width="9" style="192"/>
    <col min="16129" max="16130" width="18.125" style="192" customWidth="1"/>
    <col min="16131" max="16136" width="8.625" style="192" customWidth="1"/>
    <col min="16137" max="16138" width="9" style="192"/>
    <col min="16139" max="16139" width="5.125" style="192" bestFit="1" customWidth="1"/>
    <col min="16140" max="16143" width="6.125" style="192" bestFit="1" customWidth="1"/>
    <col min="16144" max="16384" width="9" style="192"/>
  </cols>
  <sheetData>
    <row r="1" spans="1:8" ht="27" customHeight="1">
      <c r="A1" s="273" t="s">
        <v>89</v>
      </c>
      <c r="B1" s="273"/>
      <c r="C1" s="273"/>
      <c r="D1" s="273"/>
      <c r="E1" s="273"/>
      <c r="F1" s="272" t="s">
        <v>88</v>
      </c>
      <c r="G1" s="272"/>
      <c r="H1" s="272"/>
    </row>
    <row r="2" spans="1:8" ht="27" customHeight="1">
      <c r="A2" s="276"/>
      <c r="B2" s="276"/>
      <c r="C2" s="276"/>
      <c r="D2" s="276"/>
      <c r="E2" s="276"/>
    </row>
    <row r="3" spans="1:8" ht="27" customHeight="1">
      <c r="A3" s="276"/>
      <c r="B3" s="276"/>
      <c r="C3" s="276"/>
      <c r="D3" s="276"/>
      <c r="E3" s="276"/>
    </row>
    <row r="4" spans="1:8" ht="27" customHeight="1">
      <c r="A4" s="276"/>
      <c r="B4" s="276"/>
      <c r="C4" s="276"/>
      <c r="D4" s="276"/>
      <c r="E4" s="276"/>
    </row>
    <row r="5" spans="1:8" ht="27" customHeight="1">
      <c r="A5" s="276"/>
      <c r="B5" s="276"/>
      <c r="C5" s="276"/>
      <c r="D5" s="276"/>
      <c r="E5" s="276"/>
    </row>
    <row r="6" spans="1:8" ht="27" customHeight="1">
      <c r="A6" s="276"/>
      <c r="B6" s="276"/>
      <c r="C6" s="276"/>
      <c r="D6" s="276"/>
      <c r="E6" s="276"/>
    </row>
    <row r="7" spans="1:8" ht="27" customHeight="1">
      <c r="A7" s="276"/>
      <c r="B7" s="276"/>
      <c r="C7" s="276"/>
      <c r="D7" s="276"/>
      <c r="E7" s="276"/>
    </row>
    <row r="8" spans="1:8" ht="27" customHeight="1">
      <c r="A8" s="276"/>
      <c r="B8" s="276"/>
      <c r="C8" s="276"/>
      <c r="D8" s="276"/>
      <c r="E8" s="276"/>
    </row>
    <row r="9" spans="1:8" ht="27" customHeight="1">
      <c r="A9" s="276"/>
      <c r="B9" s="276"/>
      <c r="C9" s="276"/>
      <c r="D9" s="276"/>
      <c r="E9" s="276"/>
    </row>
    <row r="10" spans="1:8" ht="27" customHeight="1">
      <c r="A10" s="276"/>
      <c r="B10" s="276"/>
      <c r="C10" s="276"/>
      <c r="D10" s="276"/>
      <c r="E10" s="276"/>
    </row>
    <row r="11" spans="1:8" ht="27" customHeight="1">
      <c r="A11" s="276"/>
      <c r="B11" s="276"/>
      <c r="C11" s="276"/>
      <c r="D11" s="276"/>
      <c r="E11" s="276"/>
    </row>
    <row r="12" spans="1:8" ht="27" customHeight="1">
      <c r="A12" s="276"/>
      <c r="B12" s="276"/>
      <c r="C12" s="276"/>
      <c r="D12" s="276"/>
      <c r="E12" s="276"/>
    </row>
    <row r="13" spans="1:8" ht="27" customHeight="1">
      <c r="A13" s="276"/>
      <c r="B13" s="276"/>
      <c r="C13" s="276"/>
      <c r="D13" s="276"/>
      <c r="E13" s="276"/>
    </row>
    <row r="14" spans="1:8" ht="27" customHeight="1">
      <c r="A14" s="276"/>
      <c r="B14" s="276"/>
      <c r="C14" s="276"/>
      <c r="D14" s="276"/>
      <c r="E14" s="276"/>
    </row>
    <row r="15" spans="1:8" ht="27" customHeight="1">
      <c r="A15" s="273" t="s">
        <v>91</v>
      </c>
      <c r="B15" s="273"/>
      <c r="C15" s="273"/>
      <c r="D15" s="273"/>
      <c r="E15" s="273"/>
      <c r="F15" s="273"/>
      <c r="G15" s="273"/>
      <c r="H15" s="273"/>
    </row>
    <row r="16" spans="1:8" ht="278.25" customHeight="1">
      <c r="A16" s="277"/>
      <c r="B16" s="278"/>
      <c r="C16" s="278"/>
      <c r="D16" s="278"/>
      <c r="E16" s="278"/>
      <c r="F16" s="278"/>
      <c r="G16" s="278"/>
      <c r="H16" s="278"/>
    </row>
    <row r="17" spans="1:8" ht="27" customHeight="1">
      <c r="A17" s="273" t="s">
        <v>92</v>
      </c>
      <c r="B17" s="273"/>
      <c r="C17" s="273"/>
      <c r="D17" s="273"/>
      <c r="E17" s="273"/>
      <c r="F17" s="273"/>
      <c r="G17" s="273"/>
      <c r="H17" s="273"/>
    </row>
    <row r="18" spans="1:8" ht="4.5" customHeight="1" thickBot="1">
      <c r="A18" s="193"/>
      <c r="B18" s="193"/>
      <c r="C18" s="193"/>
      <c r="D18" s="193"/>
      <c r="E18" s="193"/>
      <c r="F18" s="193"/>
      <c r="G18" s="193"/>
      <c r="H18" s="193"/>
    </row>
    <row r="19" spans="1:8" ht="15.95" hidden="1" customHeight="1">
      <c r="A19" s="194" t="s">
        <v>40</v>
      </c>
      <c r="B19" s="195" t="s">
        <v>41</v>
      </c>
      <c r="C19" s="196"/>
      <c r="D19" s="197">
        <v>8.9</v>
      </c>
      <c r="E19" s="198"/>
      <c r="F19" s="198"/>
      <c r="G19" s="198"/>
      <c r="H19" s="199" t="s">
        <v>42</v>
      </c>
    </row>
    <row r="20" spans="1:8" ht="15.95" hidden="1" customHeight="1">
      <c r="A20" s="200"/>
      <c r="B20" s="201" t="s">
        <v>43</v>
      </c>
      <c r="C20" s="202"/>
      <c r="D20" s="203">
        <v>8.3000000000000007</v>
      </c>
      <c r="E20" s="204"/>
      <c r="F20" s="204"/>
      <c r="G20" s="204"/>
      <c r="H20" s="205" t="s">
        <v>44</v>
      </c>
    </row>
    <row r="21" spans="1:8" ht="15.75" customHeight="1">
      <c r="A21" s="274" t="s">
        <v>93</v>
      </c>
      <c r="B21" s="275"/>
      <c r="C21" s="186" t="s">
        <v>96</v>
      </c>
      <c r="D21" s="190">
        <v>500</v>
      </c>
      <c r="E21" s="206" t="s">
        <v>97</v>
      </c>
      <c r="F21" s="207" t="s">
        <v>98</v>
      </c>
      <c r="G21" s="189">
        <v>700</v>
      </c>
      <c r="H21" s="208"/>
    </row>
    <row r="22" spans="1:8" ht="15.75" customHeight="1">
      <c r="A22" s="268" t="s">
        <v>6</v>
      </c>
      <c r="B22" s="269"/>
      <c r="C22" s="209"/>
      <c r="D22" s="191">
        <v>27</v>
      </c>
      <c r="E22" s="210"/>
      <c r="F22" s="211"/>
      <c r="G22" s="212"/>
      <c r="H22" s="199"/>
    </row>
    <row r="23" spans="1:8" ht="15.75" customHeight="1">
      <c r="A23" s="268" t="s">
        <v>94</v>
      </c>
      <c r="B23" s="269"/>
      <c r="C23" s="187" t="s">
        <v>47</v>
      </c>
      <c r="D23" s="188">
        <f>通気面接計算シート!C15</f>
        <v>409.78320131569853</v>
      </c>
      <c r="E23" s="188"/>
      <c r="F23" s="188"/>
      <c r="G23" s="188"/>
      <c r="H23" s="213" t="s">
        <v>33</v>
      </c>
    </row>
    <row r="24" spans="1:8" ht="15.75" customHeight="1">
      <c r="A24" s="268" t="s">
        <v>95</v>
      </c>
      <c r="B24" s="269"/>
      <c r="C24" s="222"/>
      <c r="D24" s="188">
        <f>通気面接計算シート!C16</f>
        <v>15.442247520045917</v>
      </c>
      <c r="E24" s="188"/>
      <c r="F24" s="188"/>
      <c r="G24" s="188"/>
      <c r="H24" s="258" t="s">
        <v>99</v>
      </c>
    </row>
    <row r="25" spans="1:8" ht="14.25" hidden="1">
      <c r="A25" s="214" t="s">
        <v>51</v>
      </c>
      <c r="B25" s="215"/>
      <c r="C25" s="216" t="s">
        <v>52</v>
      </c>
      <c r="D25" s="217">
        <v>1.88</v>
      </c>
      <c r="E25" s="218"/>
      <c r="F25" s="218"/>
      <c r="G25" s="218"/>
      <c r="H25" s="219"/>
    </row>
    <row r="26" spans="1:8" ht="15.75" hidden="1">
      <c r="A26" s="220" t="s">
        <v>53</v>
      </c>
      <c r="B26" s="221"/>
      <c r="C26" s="222" t="s">
        <v>54</v>
      </c>
      <c r="D26" s="223">
        <f>D27/0.7</f>
        <v>291.5314775074541</v>
      </c>
      <c r="E26" s="224"/>
      <c r="F26" s="224"/>
      <c r="G26" s="224"/>
      <c r="H26" s="225" t="s">
        <v>55</v>
      </c>
    </row>
    <row r="27" spans="1:8" ht="16.5" thickBot="1">
      <c r="A27" s="292" t="s">
        <v>101</v>
      </c>
      <c r="B27" s="293"/>
      <c r="C27" s="288" t="s">
        <v>57</v>
      </c>
      <c r="D27" s="289">
        <f>D23*D28</f>
        <v>204.07203425521786</v>
      </c>
      <c r="E27" s="290"/>
      <c r="F27" s="290"/>
      <c r="G27" s="290"/>
      <c r="H27" s="291" t="s">
        <v>84</v>
      </c>
    </row>
    <row r="28" spans="1:8" ht="14.25" hidden="1">
      <c r="A28" s="214" t="s">
        <v>59</v>
      </c>
      <c r="B28" s="215"/>
      <c r="C28" s="216" t="s">
        <v>60</v>
      </c>
      <c r="D28" s="217">
        <v>0.498</v>
      </c>
      <c r="E28" s="218"/>
      <c r="F28" s="218"/>
      <c r="G28" s="218"/>
      <c r="H28" s="229"/>
    </row>
    <row r="29" spans="1:8" ht="21" hidden="1" thickBot="1">
      <c r="A29" s="226" t="s">
        <v>61</v>
      </c>
      <c r="B29" s="227"/>
      <c r="C29" s="228" t="s">
        <v>62</v>
      </c>
      <c r="D29" s="230">
        <f>D26</f>
        <v>291.5314775074541</v>
      </c>
      <c r="E29" s="231" t="s">
        <v>63</v>
      </c>
      <c r="F29" s="232">
        <f>ROUND(1/D25,2)</f>
        <v>0.53</v>
      </c>
      <c r="G29" s="233"/>
      <c r="H29" s="234" t="s">
        <v>64</v>
      </c>
    </row>
    <row r="30" spans="1:8" ht="17.25" hidden="1">
      <c r="A30" s="214" t="s">
        <v>65</v>
      </c>
      <c r="B30" s="215"/>
      <c r="C30" s="216" t="s">
        <v>66</v>
      </c>
      <c r="D30" s="235">
        <f>ROUND(D26/(D23*0.0001)/3600,2)</f>
        <v>1.98</v>
      </c>
      <c r="E30" s="236"/>
      <c r="F30" s="237"/>
      <c r="G30" s="237"/>
      <c r="H30" s="238" t="s">
        <v>67</v>
      </c>
    </row>
    <row r="31" spans="1:8" ht="18" hidden="1" thickBot="1">
      <c r="A31" s="226" t="s">
        <v>68</v>
      </c>
      <c r="B31" s="227"/>
      <c r="C31" s="228" t="s">
        <v>69</v>
      </c>
      <c r="D31" s="239">
        <f>ROUND((2*9.8)/((353/(273+D20))*D30^2),2)</f>
        <v>3.98</v>
      </c>
      <c r="E31" s="240"/>
      <c r="F31" s="241"/>
      <c r="G31" s="241"/>
      <c r="H31" s="242"/>
    </row>
    <row r="32" spans="1:8" ht="14.25" customHeight="1">
      <c r="A32" s="243"/>
      <c r="B32" s="244"/>
      <c r="C32" s="245"/>
      <c r="D32" s="243"/>
      <c r="E32" s="246"/>
      <c r="F32" s="247"/>
      <c r="G32" s="247"/>
      <c r="H32" s="248"/>
    </row>
    <row r="33" spans="1:8" ht="14.25" customHeight="1">
      <c r="B33" s="249"/>
      <c r="C33" s="250" t="s">
        <v>90</v>
      </c>
      <c r="D33" s="249"/>
      <c r="E33" s="249"/>
      <c r="F33" s="270" t="s">
        <v>100</v>
      </c>
      <c r="G33" s="271"/>
      <c r="H33" s="271"/>
    </row>
    <row r="35" spans="1:8" s="251" customFormat="1"/>
    <row r="36" spans="1:8" s="251" customFormat="1" ht="14.25">
      <c r="A36" s="252" t="s">
        <v>81</v>
      </c>
      <c r="B36" s="253">
        <v>0</v>
      </c>
      <c r="C36" s="254">
        <v>10</v>
      </c>
      <c r="D36" s="254">
        <v>20</v>
      </c>
      <c r="E36" s="254">
        <v>30</v>
      </c>
      <c r="F36" s="254">
        <v>40</v>
      </c>
      <c r="G36" s="254">
        <v>50</v>
      </c>
      <c r="H36" s="254">
        <v>60</v>
      </c>
    </row>
    <row r="37" spans="1:8" s="251" customFormat="1" ht="15.75">
      <c r="A37" s="252" t="s">
        <v>87</v>
      </c>
      <c r="B37" s="255">
        <f>$D$26*(B36/9.8)^(1/$D$25)</f>
        <v>0</v>
      </c>
      <c r="C37" s="255">
        <f t="shared" ref="C37:H37" si="0">$D$26*(C36/9.8)^(1/$D$25)</f>
        <v>294.68120337178226</v>
      </c>
      <c r="D37" s="255">
        <f t="shared" si="0"/>
        <v>426.06393376572316</v>
      </c>
      <c r="E37" s="255">
        <f t="shared" si="0"/>
        <v>528.6160389956882</v>
      </c>
      <c r="F37" s="255">
        <f t="shared" si="0"/>
        <v>616.0232603193765</v>
      </c>
      <c r="G37" s="255">
        <f t="shared" si="0"/>
        <v>693.65734642448047</v>
      </c>
      <c r="H37" s="255">
        <f t="shared" si="0"/>
        <v>764.29791397996087</v>
      </c>
    </row>
    <row r="38" spans="1:8" s="251" customFormat="1"/>
    <row r="39" spans="1:8" s="251" customFormat="1">
      <c r="A39" s="256" t="s">
        <v>72</v>
      </c>
    </row>
    <row r="40" spans="1:8">
      <c r="A40" s="257"/>
    </row>
  </sheetData>
  <sheetProtection password="E8FD" sheet="1" objects="1" scenarios="1" selectLockedCells="1"/>
  <mergeCells count="12">
    <mergeCell ref="A24:B24"/>
    <mergeCell ref="F33:H33"/>
    <mergeCell ref="F1:H1"/>
    <mergeCell ref="A1:E1"/>
    <mergeCell ref="A21:B21"/>
    <mergeCell ref="A22:B22"/>
    <mergeCell ref="A23:B23"/>
    <mergeCell ref="A2:E14"/>
    <mergeCell ref="A15:H15"/>
    <mergeCell ref="A16:H16"/>
    <mergeCell ref="A17:H17"/>
    <mergeCell ref="A27:B27"/>
  </mergeCells>
  <phoneticPr fontId="1"/>
  <pageMargins left="0.7" right="0.7" top="0.75" bottom="0.75" header="0.3" footer="0.3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10" zoomScale="75" zoomScaleNormal="75" workbookViewId="0">
      <selection activeCell="D24" sqref="D24"/>
    </sheetView>
  </sheetViews>
  <sheetFormatPr defaultRowHeight="13.5"/>
  <cols>
    <col min="1" max="2" width="18.125" style="62" customWidth="1"/>
    <col min="3" max="8" width="8.625" style="62" customWidth="1"/>
    <col min="9" max="10" width="9" style="62"/>
    <col min="11" max="11" width="5.125" style="62" bestFit="1" customWidth="1"/>
    <col min="12" max="15" width="6.125" style="62" bestFit="1" customWidth="1"/>
    <col min="16" max="256" width="9" style="62"/>
    <col min="257" max="258" width="18.125" style="62" customWidth="1"/>
    <col min="259" max="264" width="8.625" style="62" customWidth="1"/>
    <col min="265" max="266" width="9" style="62"/>
    <col min="267" max="267" width="5.125" style="62" bestFit="1" customWidth="1"/>
    <col min="268" max="271" width="6.125" style="62" bestFit="1" customWidth="1"/>
    <col min="272" max="512" width="9" style="62"/>
    <col min="513" max="514" width="18.125" style="62" customWidth="1"/>
    <col min="515" max="520" width="8.625" style="62" customWidth="1"/>
    <col min="521" max="522" width="9" style="62"/>
    <col min="523" max="523" width="5.125" style="62" bestFit="1" customWidth="1"/>
    <col min="524" max="527" width="6.125" style="62" bestFit="1" customWidth="1"/>
    <col min="528" max="768" width="9" style="62"/>
    <col min="769" max="770" width="18.125" style="62" customWidth="1"/>
    <col min="771" max="776" width="8.625" style="62" customWidth="1"/>
    <col min="777" max="778" width="9" style="62"/>
    <col min="779" max="779" width="5.125" style="62" bestFit="1" customWidth="1"/>
    <col min="780" max="783" width="6.125" style="62" bestFit="1" customWidth="1"/>
    <col min="784" max="1024" width="9" style="62"/>
    <col min="1025" max="1026" width="18.125" style="62" customWidth="1"/>
    <col min="1027" max="1032" width="8.625" style="62" customWidth="1"/>
    <col min="1033" max="1034" width="9" style="62"/>
    <col min="1035" max="1035" width="5.125" style="62" bestFit="1" customWidth="1"/>
    <col min="1036" max="1039" width="6.125" style="62" bestFit="1" customWidth="1"/>
    <col min="1040" max="1280" width="9" style="62"/>
    <col min="1281" max="1282" width="18.125" style="62" customWidth="1"/>
    <col min="1283" max="1288" width="8.625" style="62" customWidth="1"/>
    <col min="1289" max="1290" width="9" style="62"/>
    <col min="1291" max="1291" width="5.125" style="62" bestFit="1" customWidth="1"/>
    <col min="1292" max="1295" width="6.125" style="62" bestFit="1" customWidth="1"/>
    <col min="1296" max="1536" width="9" style="62"/>
    <col min="1537" max="1538" width="18.125" style="62" customWidth="1"/>
    <col min="1539" max="1544" width="8.625" style="62" customWidth="1"/>
    <col min="1545" max="1546" width="9" style="62"/>
    <col min="1547" max="1547" width="5.125" style="62" bestFit="1" customWidth="1"/>
    <col min="1548" max="1551" width="6.125" style="62" bestFit="1" customWidth="1"/>
    <col min="1552" max="1792" width="9" style="62"/>
    <col min="1793" max="1794" width="18.125" style="62" customWidth="1"/>
    <col min="1795" max="1800" width="8.625" style="62" customWidth="1"/>
    <col min="1801" max="1802" width="9" style="62"/>
    <col min="1803" max="1803" width="5.125" style="62" bestFit="1" customWidth="1"/>
    <col min="1804" max="1807" width="6.125" style="62" bestFit="1" customWidth="1"/>
    <col min="1808" max="2048" width="9" style="62"/>
    <col min="2049" max="2050" width="18.125" style="62" customWidth="1"/>
    <col min="2051" max="2056" width="8.625" style="62" customWidth="1"/>
    <col min="2057" max="2058" width="9" style="62"/>
    <col min="2059" max="2059" width="5.125" style="62" bestFit="1" customWidth="1"/>
    <col min="2060" max="2063" width="6.125" style="62" bestFit="1" customWidth="1"/>
    <col min="2064" max="2304" width="9" style="62"/>
    <col min="2305" max="2306" width="18.125" style="62" customWidth="1"/>
    <col min="2307" max="2312" width="8.625" style="62" customWidth="1"/>
    <col min="2313" max="2314" width="9" style="62"/>
    <col min="2315" max="2315" width="5.125" style="62" bestFit="1" customWidth="1"/>
    <col min="2316" max="2319" width="6.125" style="62" bestFit="1" customWidth="1"/>
    <col min="2320" max="2560" width="9" style="62"/>
    <col min="2561" max="2562" width="18.125" style="62" customWidth="1"/>
    <col min="2563" max="2568" width="8.625" style="62" customWidth="1"/>
    <col min="2569" max="2570" width="9" style="62"/>
    <col min="2571" max="2571" width="5.125" style="62" bestFit="1" customWidth="1"/>
    <col min="2572" max="2575" width="6.125" style="62" bestFit="1" customWidth="1"/>
    <col min="2576" max="2816" width="9" style="62"/>
    <col min="2817" max="2818" width="18.125" style="62" customWidth="1"/>
    <col min="2819" max="2824" width="8.625" style="62" customWidth="1"/>
    <col min="2825" max="2826" width="9" style="62"/>
    <col min="2827" max="2827" width="5.125" style="62" bestFit="1" customWidth="1"/>
    <col min="2828" max="2831" width="6.125" style="62" bestFit="1" customWidth="1"/>
    <col min="2832" max="3072" width="9" style="62"/>
    <col min="3073" max="3074" width="18.125" style="62" customWidth="1"/>
    <col min="3075" max="3080" width="8.625" style="62" customWidth="1"/>
    <col min="3081" max="3082" width="9" style="62"/>
    <col min="3083" max="3083" width="5.125" style="62" bestFit="1" customWidth="1"/>
    <col min="3084" max="3087" width="6.125" style="62" bestFit="1" customWidth="1"/>
    <col min="3088" max="3328" width="9" style="62"/>
    <col min="3329" max="3330" width="18.125" style="62" customWidth="1"/>
    <col min="3331" max="3336" width="8.625" style="62" customWidth="1"/>
    <col min="3337" max="3338" width="9" style="62"/>
    <col min="3339" max="3339" width="5.125" style="62" bestFit="1" customWidth="1"/>
    <col min="3340" max="3343" width="6.125" style="62" bestFit="1" customWidth="1"/>
    <col min="3344" max="3584" width="9" style="62"/>
    <col min="3585" max="3586" width="18.125" style="62" customWidth="1"/>
    <col min="3587" max="3592" width="8.625" style="62" customWidth="1"/>
    <col min="3593" max="3594" width="9" style="62"/>
    <col min="3595" max="3595" width="5.125" style="62" bestFit="1" customWidth="1"/>
    <col min="3596" max="3599" width="6.125" style="62" bestFit="1" customWidth="1"/>
    <col min="3600" max="3840" width="9" style="62"/>
    <col min="3841" max="3842" width="18.125" style="62" customWidth="1"/>
    <col min="3843" max="3848" width="8.625" style="62" customWidth="1"/>
    <col min="3849" max="3850" width="9" style="62"/>
    <col min="3851" max="3851" width="5.125" style="62" bestFit="1" customWidth="1"/>
    <col min="3852" max="3855" width="6.125" style="62" bestFit="1" customWidth="1"/>
    <col min="3856" max="4096" width="9" style="62"/>
    <col min="4097" max="4098" width="18.125" style="62" customWidth="1"/>
    <col min="4099" max="4104" width="8.625" style="62" customWidth="1"/>
    <col min="4105" max="4106" width="9" style="62"/>
    <col min="4107" max="4107" width="5.125" style="62" bestFit="1" customWidth="1"/>
    <col min="4108" max="4111" width="6.125" style="62" bestFit="1" customWidth="1"/>
    <col min="4112" max="4352" width="9" style="62"/>
    <col min="4353" max="4354" width="18.125" style="62" customWidth="1"/>
    <col min="4355" max="4360" width="8.625" style="62" customWidth="1"/>
    <col min="4361" max="4362" width="9" style="62"/>
    <col min="4363" max="4363" width="5.125" style="62" bestFit="1" customWidth="1"/>
    <col min="4364" max="4367" width="6.125" style="62" bestFit="1" customWidth="1"/>
    <col min="4368" max="4608" width="9" style="62"/>
    <col min="4609" max="4610" width="18.125" style="62" customWidth="1"/>
    <col min="4611" max="4616" width="8.625" style="62" customWidth="1"/>
    <col min="4617" max="4618" width="9" style="62"/>
    <col min="4619" max="4619" width="5.125" style="62" bestFit="1" customWidth="1"/>
    <col min="4620" max="4623" width="6.125" style="62" bestFit="1" customWidth="1"/>
    <col min="4624" max="4864" width="9" style="62"/>
    <col min="4865" max="4866" width="18.125" style="62" customWidth="1"/>
    <col min="4867" max="4872" width="8.625" style="62" customWidth="1"/>
    <col min="4873" max="4874" width="9" style="62"/>
    <col min="4875" max="4875" width="5.125" style="62" bestFit="1" customWidth="1"/>
    <col min="4876" max="4879" width="6.125" style="62" bestFit="1" customWidth="1"/>
    <col min="4880" max="5120" width="9" style="62"/>
    <col min="5121" max="5122" width="18.125" style="62" customWidth="1"/>
    <col min="5123" max="5128" width="8.625" style="62" customWidth="1"/>
    <col min="5129" max="5130" width="9" style="62"/>
    <col min="5131" max="5131" width="5.125" style="62" bestFit="1" customWidth="1"/>
    <col min="5132" max="5135" width="6.125" style="62" bestFit="1" customWidth="1"/>
    <col min="5136" max="5376" width="9" style="62"/>
    <col min="5377" max="5378" width="18.125" style="62" customWidth="1"/>
    <col min="5379" max="5384" width="8.625" style="62" customWidth="1"/>
    <col min="5385" max="5386" width="9" style="62"/>
    <col min="5387" max="5387" width="5.125" style="62" bestFit="1" customWidth="1"/>
    <col min="5388" max="5391" width="6.125" style="62" bestFit="1" customWidth="1"/>
    <col min="5392" max="5632" width="9" style="62"/>
    <col min="5633" max="5634" width="18.125" style="62" customWidth="1"/>
    <col min="5635" max="5640" width="8.625" style="62" customWidth="1"/>
    <col min="5641" max="5642" width="9" style="62"/>
    <col min="5643" max="5643" width="5.125" style="62" bestFit="1" customWidth="1"/>
    <col min="5644" max="5647" width="6.125" style="62" bestFit="1" customWidth="1"/>
    <col min="5648" max="5888" width="9" style="62"/>
    <col min="5889" max="5890" width="18.125" style="62" customWidth="1"/>
    <col min="5891" max="5896" width="8.625" style="62" customWidth="1"/>
    <col min="5897" max="5898" width="9" style="62"/>
    <col min="5899" max="5899" width="5.125" style="62" bestFit="1" customWidth="1"/>
    <col min="5900" max="5903" width="6.125" style="62" bestFit="1" customWidth="1"/>
    <col min="5904" max="6144" width="9" style="62"/>
    <col min="6145" max="6146" width="18.125" style="62" customWidth="1"/>
    <col min="6147" max="6152" width="8.625" style="62" customWidth="1"/>
    <col min="6153" max="6154" width="9" style="62"/>
    <col min="6155" max="6155" width="5.125" style="62" bestFit="1" customWidth="1"/>
    <col min="6156" max="6159" width="6.125" style="62" bestFit="1" customWidth="1"/>
    <col min="6160" max="6400" width="9" style="62"/>
    <col min="6401" max="6402" width="18.125" style="62" customWidth="1"/>
    <col min="6403" max="6408" width="8.625" style="62" customWidth="1"/>
    <col min="6409" max="6410" width="9" style="62"/>
    <col min="6411" max="6411" width="5.125" style="62" bestFit="1" customWidth="1"/>
    <col min="6412" max="6415" width="6.125" style="62" bestFit="1" customWidth="1"/>
    <col min="6416" max="6656" width="9" style="62"/>
    <col min="6657" max="6658" width="18.125" style="62" customWidth="1"/>
    <col min="6659" max="6664" width="8.625" style="62" customWidth="1"/>
    <col min="6665" max="6666" width="9" style="62"/>
    <col min="6667" max="6667" width="5.125" style="62" bestFit="1" customWidth="1"/>
    <col min="6668" max="6671" width="6.125" style="62" bestFit="1" customWidth="1"/>
    <col min="6672" max="6912" width="9" style="62"/>
    <col min="6913" max="6914" width="18.125" style="62" customWidth="1"/>
    <col min="6915" max="6920" width="8.625" style="62" customWidth="1"/>
    <col min="6921" max="6922" width="9" style="62"/>
    <col min="6923" max="6923" width="5.125" style="62" bestFit="1" customWidth="1"/>
    <col min="6924" max="6927" width="6.125" style="62" bestFit="1" customWidth="1"/>
    <col min="6928" max="7168" width="9" style="62"/>
    <col min="7169" max="7170" width="18.125" style="62" customWidth="1"/>
    <col min="7171" max="7176" width="8.625" style="62" customWidth="1"/>
    <col min="7177" max="7178" width="9" style="62"/>
    <col min="7179" max="7179" width="5.125" style="62" bestFit="1" customWidth="1"/>
    <col min="7180" max="7183" width="6.125" style="62" bestFit="1" customWidth="1"/>
    <col min="7184" max="7424" width="9" style="62"/>
    <col min="7425" max="7426" width="18.125" style="62" customWidth="1"/>
    <col min="7427" max="7432" width="8.625" style="62" customWidth="1"/>
    <col min="7433" max="7434" width="9" style="62"/>
    <col min="7435" max="7435" width="5.125" style="62" bestFit="1" customWidth="1"/>
    <col min="7436" max="7439" width="6.125" style="62" bestFit="1" customWidth="1"/>
    <col min="7440" max="7680" width="9" style="62"/>
    <col min="7681" max="7682" width="18.125" style="62" customWidth="1"/>
    <col min="7683" max="7688" width="8.625" style="62" customWidth="1"/>
    <col min="7689" max="7690" width="9" style="62"/>
    <col min="7691" max="7691" width="5.125" style="62" bestFit="1" customWidth="1"/>
    <col min="7692" max="7695" width="6.125" style="62" bestFit="1" customWidth="1"/>
    <col min="7696" max="7936" width="9" style="62"/>
    <col min="7937" max="7938" width="18.125" style="62" customWidth="1"/>
    <col min="7939" max="7944" width="8.625" style="62" customWidth="1"/>
    <col min="7945" max="7946" width="9" style="62"/>
    <col min="7947" max="7947" width="5.125" style="62" bestFit="1" customWidth="1"/>
    <col min="7948" max="7951" width="6.125" style="62" bestFit="1" customWidth="1"/>
    <col min="7952" max="8192" width="9" style="62"/>
    <col min="8193" max="8194" width="18.125" style="62" customWidth="1"/>
    <col min="8195" max="8200" width="8.625" style="62" customWidth="1"/>
    <col min="8201" max="8202" width="9" style="62"/>
    <col min="8203" max="8203" width="5.125" style="62" bestFit="1" customWidth="1"/>
    <col min="8204" max="8207" width="6.125" style="62" bestFit="1" customWidth="1"/>
    <col min="8208" max="8448" width="9" style="62"/>
    <col min="8449" max="8450" width="18.125" style="62" customWidth="1"/>
    <col min="8451" max="8456" width="8.625" style="62" customWidth="1"/>
    <col min="8457" max="8458" width="9" style="62"/>
    <col min="8459" max="8459" width="5.125" style="62" bestFit="1" customWidth="1"/>
    <col min="8460" max="8463" width="6.125" style="62" bestFit="1" customWidth="1"/>
    <col min="8464" max="8704" width="9" style="62"/>
    <col min="8705" max="8706" width="18.125" style="62" customWidth="1"/>
    <col min="8707" max="8712" width="8.625" style="62" customWidth="1"/>
    <col min="8713" max="8714" width="9" style="62"/>
    <col min="8715" max="8715" width="5.125" style="62" bestFit="1" customWidth="1"/>
    <col min="8716" max="8719" width="6.125" style="62" bestFit="1" customWidth="1"/>
    <col min="8720" max="8960" width="9" style="62"/>
    <col min="8961" max="8962" width="18.125" style="62" customWidth="1"/>
    <col min="8963" max="8968" width="8.625" style="62" customWidth="1"/>
    <col min="8969" max="8970" width="9" style="62"/>
    <col min="8971" max="8971" width="5.125" style="62" bestFit="1" customWidth="1"/>
    <col min="8972" max="8975" width="6.125" style="62" bestFit="1" customWidth="1"/>
    <col min="8976" max="9216" width="9" style="62"/>
    <col min="9217" max="9218" width="18.125" style="62" customWidth="1"/>
    <col min="9219" max="9224" width="8.625" style="62" customWidth="1"/>
    <col min="9225" max="9226" width="9" style="62"/>
    <col min="9227" max="9227" width="5.125" style="62" bestFit="1" customWidth="1"/>
    <col min="9228" max="9231" width="6.125" style="62" bestFit="1" customWidth="1"/>
    <col min="9232" max="9472" width="9" style="62"/>
    <col min="9473" max="9474" width="18.125" style="62" customWidth="1"/>
    <col min="9475" max="9480" width="8.625" style="62" customWidth="1"/>
    <col min="9481" max="9482" width="9" style="62"/>
    <col min="9483" max="9483" width="5.125" style="62" bestFit="1" customWidth="1"/>
    <col min="9484" max="9487" width="6.125" style="62" bestFit="1" customWidth="1"/>
    <col min="9488" max="9728" width="9" style="62"/>
    <col min="9729" max="9730" width="18.125" style="62" customWidth="1"/>
    <col min="9731" max="9736" width="8.625" style="62" customWidth="1"/>
    <col min="9737" max="9738" width="9" style="62"/>
    <col min="9739" max="9739" width="5.125" style="62" bestFit="1" customWidth="1"/>
    <col min="9740" max="9743" width="6.125" style="62" bestFit="1" customWidth="1"/>
    <col min="9744" max="9984" width="9" style="62"/>
    <col min="9985" max="9986" width="18.125" style="62" customWidth="1"/>
    <col min="9987" max="9992" width="8.625" style="62" customWidth="1"/>
    <col min="9993" max="9994" width="9" style="62"/>
    <col min="9995" max="9995" width="5.125" style="62" bestFit="1" customWidth="1"/>
    <col min="9996" max="9999" width="6.125" style="62" bestFit="1" customWidth="1"/>
    <col min="10000" max="10240" width="9" style="62"/>
    <col min="10241" max="10242" width="18.125" style="62" customWidth="1"/>
    <col min="10243" max="10248" width="8.625" style="62" customWidth="1"/>
    <col min="10249" max="10250" width="9" style="62"/>
    <col min="10251" max="10251" width="5.125" style="62" bestFit="1" customWidth="1"/>
    <col min="10252" max="10255" width="6.125" style="62" bestFit="1" customWidth="1"/>
    <col min="10256" max="10496" width="9" style="62"/>
    <col min="10497" max="10498" width="18.125" style="62" customWidth="1"/>
    <col min="10499" max="10504" width="8.625" style="62" customWidth="1"/>
    <col min="10505" max="10506" width="9" style="62"/>
    <col min="10507" max="10507" width="5.125" style="62" bestFit="1" customWidth="1"/>
    <col min="10508" max="10511" width="6.125" style="62" bestFit="1" customWidth="1"/>
    <col min="10512" max="10752" width="9" style="62"/>
    <col min="10753" max="10754" width="18.125" style="62" customWidth="1"/>
    <col min="10755" max="10760" width="8.625" style="62" customWidth="1"/>
    <col min="10761" max="10762" width="9" style="62"/>
    <col min="10763" max="10763" width="5.125" style="62" bestFit="1" customWidth="1"/>
    <col min="10764" max="10767" width="6.125" style="62" bestFit="1" customWidth="1"/>
    <col min="10768" max="11008" width="9" style="62"/>
    <col min="11009" max="11010" width="18.125" style="62" customWidth="1"/>
    <col min="11011" max="11016" width="8.625" style="62" customWidth="1"/>
    <col min="11017" max="11018" width="9" style="62"/>
    <col min="11019" max="11019" width="5.125" style="62" bestFit="1" customWidth="1"/>
    <col min="11020" max="11023" width="6.125" style="62" bestFit="1" customWidth="1"/>
    <col min="11024" max="11264" width="9" style="62"/>
    <col min="11265" max="11266" width="18.125" style="62" customWidth="1"/>
    <col min="11267" max="11272" width="8.625" style="62" customWidth="1"/>
    <col min="11273" max="11274" width="9" style="62"/>
    <col min="11275" max="11275" width="5.125" style="62" bestFit="1" customWidth="1"/>
    <col min="11276" max="11279" width="6.125" style="62" bestFit="1" customWidth="1"/>
    <col min="11280" max="11520" width="9" style="62"/>
    <col min="11521" max="11522" width="18.125" style="62" customWidth="1"/>
    <col min="11523" max="11528" width="8.625" style="62" customWidth="1"/>
    <col min="11529" max="11530" width="9" style="62"/>
    <col min="11531" max="11531" width="5.125" style="62" bestFit="1" customWidth="1"/>
    <col min="11532" max="11535" width="6.125" style="62" bestFit="1" customWidth="1"/>
    <col min="11536" max="11776" width="9" style="62"/>
    <col min="11777" max="11778" width="18.125" style="62" customWidth="1"/>
    <col min="11779" max="11784" width="8.625" style="62" customWidth="1"/>
    <col min="11785" max="11786" width="9" style="62"/>
    <col min="11787" max="11787" width="5.125" style="62" bestFit="1" customWidth="1"/>
    <col min="11788" max="11791" width="6.125" style="62" bestFit="1" customWidth="1"/>
    <col min="11792" max="12032" width="9" style="62"/>
    <col min="12033" max="12034" width="18.125" style="62" customWidth="1"/>
    <col min="12035" max="12040" width="8.625" style="62" customWidth="1"/>
    <col min="12041" max="12042" width="9" style="62"/>
    <col min="12043" max="12043" width="5.125" style="62" bestFit="1" customWidth="1"/>
    <col min="12044" max="12047" width="6.125" style="62" bestFit="1" customWidth="1"/>
    <col min="12048" max="12288" width="9" style="62"/>
    <col min="12289" max="12290" width="18.125" style="62" customWidth="1"/>
    <col min="12291" max="12296" width="8.625" style="62" customWidth="1"/>
    <col min="12297" max="12298" width="9" style="62"/>
    <col min="12299" max="12299" width="5.125" style="62" bestFit="1" customWidth="1"/>
    <col min="12300" max="12303" width="6.125" style="62" bestFit="1" customWidth="1"/>
    <col min="12304" max="12544" width="9" style="62"/>
    <col min="12545" max="12546" width="18.125" style="62" customWidth="1"/>
    <col min="12547" max="12552" width="8.625" style="62" customWidth="1"/>
    <col min="12553" max="12554" width="9" style="62"/>
    <col min="12555" max="12555" width="5.125" style="62" bestFit="1" customWidth="1"/>
    <col min="12556" max="12559" width="6.125" style="62" bestFit="1" customWidth="1"/>
    <col min="12560" max="12800" width="9" style="62"/>
    <col min="12801" max="12802" width="18.125" style="62" customWidth="1"/>
    <col min="12803" max="12808" width="8.625" style="62" customWidth="1"/>
    <col min="12809" max="12810" width="9" style="62"/>
    <col min="12811" max="12811" width="5.125" style="62" bestFit="1" customWidth="1"/>
    <col min="12812" max="12815" width="6.125" style="62" bestFit="1" customWidth="1"/>
    <col min="12816" max="13056" width="9" style="62"/>
    <col min="13057" max="13058" width="18.125" style="62" customWidth="1"/>
    <col min="13059" max="13064" width="8.625" style="62" customWidth="1"/>
    <col min="13065" max="13066" width="9" style="62"/>
    <col min="13067" max="13067" width="5.125" style="62" bestFit="1" customWidth="1"/>
    <col min="13068" max="13071" width="6.125" style="62" bestFit="1" customWidth="1"/>
    <col min="13072" max="13312" width="9" style="62"/>
    <col min="13313" max="13314" width="18.125" style="62" customWidth="1"/>
    <col min="13315" max="13320" width="8.625" style="62" customWidth="1"/>
    <col min="13321" max="13322" width="9" style="62"/>
    <col min="13323" max="13323" width="5.125" style="62" bestFit="1" customWidth="1"/>
    <col min="13324" max="13327" width="6.125" style="62" bestFit="1" customWidth="1"/>
    <col min="13328" max="13568" width="9" style="62"/>
    <col min="13569" max="13570" width="18.125" style="62" customWidth="1"/>
    <col min="13571" max="13576" width="8.625" style="62" customWidth="1"/>
    <col min="13577" max="13578" width="9" style="62"/>
    <col min="13579" max="13579" width="5.125" style="62" bestFit="1" customWidth="1"/>
    <col min="13580" max="13583" width="6.125" style="62" bestFit="1" customWidth="1"/>
    <col min="13584" max="13824" width="9" style="62"/>
    <col min="13825" max="13826" width="18.125" style="62" customWidth="1"/>
    <col min="13827" max="13832" width="8.625" style="62" customWidth="1"/>
    <col min="13833" max="13834" width="9" style="62"/>
    <col min="13835" max="13835" width="5.125" style="62" bestFit="1" customWidth="1"/>
    <col min="13836" max="13839" width="6.125" style="62" bestFit="1" customWidth="1"/>
    <col min="13840" max="14080" width="9" style="62"/>
    <col min="14081" max="14082" width="18.125" style="62" customWidth="1"/>
    <col min="14083" max="14088" width="8.625" style="62" customWidth="1"/>
    <col min="14089" max="14090" width="9" style="62"/>
    <col min="14091" max="14091" width="5.125" style="62" bestFit="1" customWidth="1"/>
    <col min="14092" max="14095" width="6.125" style="62" bestFit="1" customWidth="1"/>
    <col min="14096" max="14336" width="9" style="62"/>
    <col min="14337" max="14338" width="18.125" style="62" customWidth="1"/>
    <col min="14339" max="14344" width="8.625" style="62" customWidth="1"/>
    <col min="14345" max="14346" width="9" style="62"/>
    <col min="14347" max="14347" width="5.125" style="62" bestFit="1" customWidth="1"/>
    <col min="14348" max="14351" width="6.125" style="62" bestFit="1" customWidth="1"/>
    <col min="14352" max="14592" width="9" style="62"/>
    <col min="14593" max="14594" width="18.125" style="62" customWidth="1"/>
    <col min="14595" max="14600" width="8.625" style="62" customWidth="1"/>
    <col min="14601" max="14602" width="9" style="62"/>
    <col min="14603" max="14603" width="5.125" style="62" bestFit="1" customWidth="1"/>
    <col min="14604" max="14607" width="6.125" style="62" bestFit="1" customWidth="1"/>
    <col min="14608" max="14848" width="9" style="62"/>
    <col min="14849" max="14850" width="18.125" style="62" customWidth="1"/>
    <col min="14851" max="14856" width="8.625" style="62" customWidth="1"/>
    <col min="14857" max="14858" width="9" style="62"/>
    <col min="14859" max="14859" width="5.125" style="62" bestFit="1" customWidth="1"/>
    <col min="14860" max="14863" width="6.125" style="62" bestFit="1" customWidth="1"/>
    <col min="14864" max="15104" width="9" style="62"/>
    <col min="15105" max="15106" width="18.125" style="62" customWidth="1"/>
    <col min="15107" max="15112" width="8.625" style="62" customWidth="1"/>
    <col min="15113" max="15114" width="9" style="62"/>
    <col min="15115" max="15115" width="5.125" style="62" bestFit="1" customWidth="1"/>
    <col min="15116" max="15119" width="6.125" style="62" bestFit="1" customWidth="1"/>
    <col min="15120" max="15360" width="9" style="62"/>
    <col min="15361" max="15362" width="18.125" style="62" customWidth="1"/>
    <col min="15363" max="15368" width="8.625" style="62" customWidth="1"/>
    <col min="15369" max="15370" width="9" style="62"/>
    <col min="15371" max="15371" width="5.125" style="62" bestFit="1" customWidth="1"/>
    <col min="15372" max="15375" width="6.125" style="62" bestFit="1" customWidth="1"/>
    <col min="15376" max="15616" width="9" style="62"/>
    <col min="15617" max="15618" width="18.125" style="62" customWidth="1"/>
    <col min="15619" max="15624" width="8.625" style="62" customWidth="1"/>
    <col min="15625" max="15626" width="9" style="62"/>
    <col min="15627" max="15627" width="5.125" style="62" bestFit="1" customWidth="1"/>
    <col min="15628" max="15631" width="6.125" style="62" bestFit="1" customWidth="1"/>
    <col min="15632" max="15872" width="9" style="62"/>
    <col min="15873" max="15874" width="18.125" style="62" customWidth="1"/>
    <col min="15875" max="15880" width="8.625" style="62" customWidth="1"/>
    <col min="15881" max="15882" width="9" style="62"/>
    <col min="15883" max="15883" width="5.125" style="62" bestFit="1" customWidth="1"/>
    <col min="15884" max="15887" width="6.125" style="62" bestFit="1" customWidth="1"/>
    <col min="15888" max="16128" width="9" style="62"/>
    <col min="16129" max="16130" width="18.125" style="62" customWidth="1"/>
    <col min="16131" max="16136" width="8.625" style="62" customWidth="1"/>
    <col min="16137" max="16138" width="9" style="62"/>
    <col min="16139" max="16139" width="5.125" style="62" bestFit="1" customWidth="1"/>
    <col min="16140" max="16143" width="6.125" style="62" bestFit="1" customWidth="1"/>
    <col min="16144" max="16384" width="9" style="62"/>
  </cols>
  <sheetData>
    <row r="1" spans="1:8" ht="24.95" customHeight="1">
      <c r="A1" s="262" t="s">
        <v>77</v>
      </c>
      <c r="B1" s="262"/>
      <c r="C1" s="262"/>
      <c r="D1" s="262"/>
      <c r="E1" s="263" t="s">
        <v>37</v>
      </c>
      <c r="F1" s="263"/>
      <c r="G1" s="263"/>
      <c r="H1" s="263"/>
    </row>
    <row r="2" spans="1:8">
      <c r="A2" s="264"/>
      <c r="B2" s="264"/>
      <c r="C2" s="264"/>
      <c r="D2" s="264"/>
      <c r="E2" s="264"/>
    </row>
    <row r="3" spans="1:8">
      <c r="A3" s="264"/>
      <c r="B3" s="264"/>
      <c r="C3" s="264"/>
      <c r="D3" s="264"/>
      <c r="E3" s="264"/>
    </row>
    <row r="4" spans="1:8" ht="20.100000000000001" customHeight="1">
      <c r="A4" s="264"/>
      <c r="B4" s="264"/>
      <c r="C4" s="264"/>
      <c r="D4" s="264"/>
      <c r="E4" s="264"/>
    </row>
    <row r="5" spans="1:8" ht="20.100000000000001" customHeight="1">
      <c r="A5" s="264"/>
      <c r="B5" s="264"/>
      <c r="C5" s="264"/>
      <c r="D5" s="264"/>
      <c r="E5" s="264"/>
    </row>
    <row r="6" spans="1:8" ht="20.100000000000001" customHeight="1">
      <c r="A6" s="264"/>
      <c r="B6" s="264"/>
      <c r="C6" s="264"/>
      <c r="D6" s="264"/>
      <c r="E6" s="264"/>
    </row>
    <row r="7" spans="1:8" ht="20.100000000000001" customHeight="1">
      <c r="A7" s="264"/>
      <c r="B7" s="264"/>
      <c r="C7" s="264"/>
      <c r="D7" s="264"/>
      <c r="E7" s="264"/>
    </row>
    <row r="8" spans="1:8" ht="20.100000000000001" customHeight="1">
      <c r="A8" s="264"/>
      <c r="B8" s="264"/>
      <c r="C8" s="264"/>
      <c r="D8" s="264"/>
      <c r="E8" s="264"/>
    </row>
    <row r="9" spans="1:8" ht="20.100000000000001" customHeight="1">
      <c r="A9" s="264"/>
      <c r="B9" s="264"/>
      <c r="C9" s="264"/>
      <c r="D9" s="264"/>
      <c r="E9" s="264"/>
    </row>
    <row r="10" spans="1:8" ht="20.100000000000001" customHeight="1">
      <c r="A10" s="264"/>
      <c r="B10" s="264"/>
      <c r="C10" s="264"/>
      <c r="D10" s="264"/>
      <c r="E10" s="264"/>
    </row>
    <row r="11" spans="1:8" ht="20.100000000000001" customHeight="1">
      <c r="A11" s="264"/>
      <c r="B11" s="264"/>
      <c r="C11" s="264"/>
      <c r="D11" s="264"/>
      <c r="E11" s="264"/>
    </row>
    <row r="12" spans="1:8" ht="20.100000000000001" customHeight="1">
      <c r="A12" s="264"/>
      <c r="B12" s="264"/>
      <c r="C12" s="264"/>
      <c r="D12" s="264"/>
      <c r="E12" s="264"/>
    </row>
    <row r="13" spans="1:8" ht="20.100000000000001" customHeight="1">
      <c r="A13" s="264"/>
      <c r="B13" s="264"/>
      <c r="C13" s="264"/>
      <c r="D13" s="264"/>
      <c r="E13" s="264"/>
    </row>
    <row r="14" spans="1:8" ht="20.100000000000001" customHeight="1">
      <c r="A14" s="264"/>
      <c r="B14" s="264"/>
      <c r="C14" s="264"/>
      <c r="D14" s="264"/>
      <c r="E14" s="264"/>
    </row>
    <row r="15" spans="1:8" ht="20.100000000000001" customHeight="1">
      <c r="A15" s="264"/>
      <c r="B15" s="264"/>
      <c r="C15" s="264"/>
      <c r="D15" s="264"/>
      <c r="E15" s="264"/>
    </row>
    <row r="16" spans="1:8" ht="20.100000000000001" customHeight="1">
      <c r="A16" s="264"/>
      <c r="B16" s="264"/>
      <c r="C16" s="264"/>
      <c r="D16" s="264"/>
      <c r="E16" s="264"/>
    </row>
    <row r="17" spans="1:8" ht="20.100000000000001" customHeight="1">
      <c r="A17" s="264"/>
      <c r="B17" s="264"/>
      <c r="C17" s="264"/>
      <c r="D17" s="264"/>
      <c r="E17" s="264"/>
    </row>
    <row r="18" spans="1:8" ht="24.95" customHeight="1">
      <c r="A18" s="262" t="s">
        <v>38</v>
      </c>
      <c r="B18" s="262"/>
      <c r="C18" s="262"/>
      <c r="D18" s="262"/>
      <c r="E18" s="262"/>
      <c r="F18" s="262"/>
      <c r="G18" s="262"/>
      <c r="H18" s="262"/>
    </row>
    <row r="19" spans="1:8" ht="279.95" customHeight="1">
      <c r="A19" s="265"/>
      <c r="B19" s="266"/>
      <c r="C19" s="266"/>
      <c r="D19" s="266"/>
      <c r="E19" s="266"/>
      <c r="F19" s="266"/>
      <c r="G19" s="266"/>
      <c r="H19" s="266"/>
    </row>
    <row r="20" spans="1:8" ht="24.95" customHeight="1">
      <c r="A20" s="267" t="s">
        <v>39</v>
      </c>
      <c r="B20" s="267"/>
      <c r="C20" s="267"/>
      <c r="D20" s="267"/>
      <c r="E20" s="267"/>
      <c r="F20" s="267"/>
      <c r="G20" s="267"/>
      <c r="H20" s="267"/>
    </row>
    <row r="21" spans="1:8" ht="5.0999999999999996" customHeight="1" thickBot="1">
      <c r="A21" s="64"/>
      <c r="B21" s="64"/>
      <c r="C21" s="64"/>
      <c r="D21" s="64"/>
      <c r="E21" s="64"/>
      <c r="F21" s="64"/>
      <c r="G21" s="64"/>
      <c r="H21" s="64"/>
    </row>
    <row r="22" spans="1:8" ht="15.95" hidden="1" customHeight="1">
      <c r="A22" s="65" t="s">
        <v>40</v>
      </c>
      <c r="B22" s="66" t="s">
        <v>41</v>
      </c>
      <c r="C22" s="67"/>
      <c r="D22" s="68">
        <v>8.9</v>
      </c>
      <c r="E22" s="69"/>
      <c r="F22" s="69"/>
      <c r="G22" s="69"/>
      <c r="H22" s="70" t="s">
        <v>42</v>
      </c>
    </row>
    <row r="23" spans="1:8" ht="15.95" hidden="1" customHeight="1">
      <c r="A23" s="137"/>
      <c r="B23" s="138" t="s">
        <v>43</v>
      </c>
      <c r="C23" s="139"/>
      <c r="D23" s="140">
        <v>8.3000000000000007</v>
      </c>
      <c r="E23" s="141"/>
      <c r="F23" s="141"/>
      <c r="G23" s="141"/>
      <c r="H23" s="142" t="s">
        <v>44</v>
      </c>
    </row>
    <row r="24" spans="1:8" ht="15.95" customHeight="1">
      <c r="A24" s="149" t="s">
        <v>45</v>
      </c>
      <c r="B24" s="150"/>
      <c r="C24" s="151" t="s">
        <v>75</v>
      </c>
      <c r="D24" s="156">
        <v>500</v>
      </c>
      <c r="E24" s="146" t="s">
        <v>76</v>
      </c>
      <c r="F24" s="155">
        <v>700</v>
      </c>
      <c r="G24" s="152"/>
      <c r="H24" s="153"/>
    </row>
    <row r="25" spans="1:8" ht="15.95" customHeight="1">
      <c r="A25" s="171" t="s">
        <v>74</v>
      </c>
      <c r="B25" s="172"/>
      <c r="C25" s="67"/>
      <c r="D25" s="157">
        <v>27</v>
      </c>
      <c r="E25" s="95"/>
      <c r="F25" s="94"/>
      <c r="G25" s="71"/>
      <c r="H25" s="70"/>
    </row>
    <row r="26" spans="1:8" ht="15.75">
      <c r="A26" s="75" t="s">
        <v>46</v>
      </c>
      <c r="B26" s="102"/>
      <c r="C26" s="77" t="s">
        <v>47</v>
      </c>
      <c r="D26" s="279">
        <f>通気面接計算シート!C23</f>
        <v>286.73280526279393</v>
      </c>
      <c r="E26" s="279"/>
      <c r="F26" s="279"/>
      <c r="G26" s="279"/>
      <c r="H26" s="70" t="s">
        <v>48</v>
      </c>
    </row>
    <row r="27" spans="1:8" ht="15" thickBot="1">
      <c r="A27" s="84" t="s">
        <v>49</v>
      </c>
      <c r="B27" s="110"/>
      <c r="C27" s="86"/>
      <c r="D27" s="280">
        <f>通気面接計算シート!C24</f>
        <v>12.260612116511403</v>
      </c>
      <c r="E27" s="280"/>
      <c r="F27" s="280"/>
      <c r="G27" s="280"/>
      <c r="H27" s="185" t="s">
        <v>50</v>
      </c>
    </row>
    <row r="28" spans="1:8" ht="14.25" hidden="1">
      <c r="A28" s="72" t="s">
        <v>51</v>
      </c>
      <c r="B28" s="87"/>
      <c r="C28" s="74" t="s">
        <v>52</v>
      </c>
      <c r="D28" s="78">
        <v>1.88</v>
      </c>
      <c r="E28" s="79"/>
      <c r="F28" s="79"/>
      <c r="G28" s="79"/>
      <c r="H28" s="184"/>
    </row>
    <row r="29" spans="1:8" ht="15.75" hidden="1">
      <c r="A29" s="75" t="s">
        <v>53</v>
      </c>
      <c r="B29" s="76"/>
      <c r="C29" s="77" t="s">
        <v>54</v>
      </c>
      <c r="D29" s="81">
        <f>D30/0.7</f>
        <v>203.98991002981626</v>
      </c>
      <c r="E29" s="82"/>
      <c r="F29" s="82"/>
      <c r="G29" s="82"/>
      <c r="H29" s="80" t="s">
        <v>55</v>
      </c>
    </row>
    <row r="30" spans="1:8" ht="16.5" hidden="1" thickBot="1">
      <c r="A30" s="84" t="s">
        <v>56</v>
      </c>
      <c r="B30" s="85"/>
      <c r="C30" s="86" t="s">
        <v>57</v>
      </c>
      <c r="D30" s="173">
        <f>D26*D31</f>
        <v>142.79293702087136</v>
      </c>
      <c r="E30" s="174"/>
      <c r="F30" s="174"/>
      <c r="G30" s="174"/>
      <c r="H30" s="175" t="s">
        <v>58</v>
      </c>
    </row>
    <row r="31" spans="1:8" ht="14.25" hidden="1">
      <c r="A31" s="72" t="s">
        <v>59</v>
      </c>
      <c r="B31" s="87"/>
      <c r="C31" s="74" t="s">
        <v>60</v>
      </c>
      <c r="D31" s="78">
        <v>0.498</v>
      </c>
      <c r="E31" s="79"/>
      <c r="F31" s="79"/>
      <c r="G31" s="79"/>
      <c r="H31" s="170"/>
    </row>
    <row r="32" spans="1:8" ht="20.25" hidden="1">
      <c r="A32" s="75" t="s">
        <v>61</v>
      </c>
      <c r="B32" s="76"/>
      <c r="C32" s="77" t="s">
        <v>62</v>
      </c>
      <c r="D32" s="176">
        <f>D29</f>
        <v>203.98991002981626</v>
      </c>
      <c r="E32" s="177" t="s">
        <v>63</v>
      </c>
      <c r="F32" s="178">
        <f>ROUND(1/D28,2)</f>
        <v>0.53</v>
      </c>
      <c r="G32" s="179"/>
      <c r="H32" s="83" t="s">
        <v>64</v>
      </c>
    </row>
    <row r="33" spans="1:8" ht="17.25" hidden="1">
      <c r="A33" s="75" t="s">
        <v>65</v>
      </c>
      <c r="B33" s="76"/>
      <c r="C33" s="77" t="s">
        <v>66</v>
      </c>
      <c r="D33" s="180">
        <f>ROUND(D29/(D26*0.0001)/3600,2)</f>
        <v>1.98</v>
      </c>
      <c r="E33" s="181"/>
      <c r="F33" s="182"/>
      <c r="G33" s="182"/>
      <c r="H33" s="183" t="s">
        <v>67</v>
      </c>
    </row>
    <row r="34" spans="1:8" ht="18" hidden="1" thickBot="1">
      <c r="A34" s="84" t="s">
        <v>68</v>
      </c>
      <c r="B34" s="85"/>
      <c r="C34" s="86" t="s">
        <v>69</v>
      </c>
      <c r="D34" s="88">
        <f>ROUND((2*9.8)/((353/(273+D23))*D33^2),2)</f>
        <v>3.98</v>
      </c>
      <c r="E34" s="89"/>
      <c r="F34" s="90"/>
      <c r="G34" s="90"/>
      <c r="H34" s="91"/>
    </row>
    <row r="35" spans="1:8" s="96" customFormat="1" ht="17.25">
      <c r="A35" s="125"/>
      <c r="B35" s="126"/>
      <c r="C35" s="127"/>
      <c r="D35" s="125"/>
      <c r="E35" s="128"/>
      <c r="F35" s="129"/>
      <c r="G35" s="129"/>
      <c r="H35" s="130"/>
    </row>
    <row r="36" spans="1:8" s="96" customFormat="1" ht="12" customHeight="1">
      <c r="A36" s="125"/>
      <c r="B36" s="126"/>
      <c r="C36" s="127"/>
      <c r="D36" s="125"/>
      <c r="E36" s="128"/>
      <c r="F36" s="129"/>
      <c r="G36" s="129"/>
      <c r="H36" s="130"/>
    </row>
    <row r="37" spans="1:8" s="164" customFormat="1" ht="12" customHeight="1">
      <c r="A37" s="125"/>
      <c r="B37" s="126"/>
      <c r="C37" s="127"/>
      <c r="D37" s="125"/>
      <c r="E37" s="128"/>
      <c r="F37" s="129"/>
      <c r="G37" s="129"/>
      <c r="H37" s="130"/>
    </row>
    <row r="38" spans="1:8" s="96" customFormat="1" ht="17.25">
      <c r="A38" s="125"/>
      <c r="B38" s="126"/>
      <c r="C38" s="127"/>
      <c r="D38" s="125"/>
      <c r="E38" s="128"/>
      <c r="F38" s="129"/>
      <c r="G38" s="129"/>
      <c r="H38" s="130"/>
    </row>
    <row r="39" spans="1:8">
      <c r="A39" s="260" t="s">
        <v>70</v>
      </c>
      <c r="B39" s="260"/>
      <c r="C39" s="260"/>
      <c r="D39" s="260"/>
      <c r="E39" s="260"/>
      <c r="F39" s="260"/>
      <c r="G39" s="261" t="s">
        <v>86</v>
      </c>
      <c r="H39" s="261"/>
    </row>
    <row r="41" spans="1:8" s="158" customFormat="1"/>
    <row r="42" spans="1:8" s="158" customFormat="1" ht="14.25">
      <c r="A42" s="159" t="s">
        <v>81</v>
      </c>
      <c r="B42" s="160">
        <v>0</v>
      </c>
      <c r="C42" s="161">
        <v>10</v>
      </c>
      <c r="D42" s="161">
        <v>20</v>
      </c>
      <c r="E42" s="161">
        <v>30</v>
      </c>
      <c r="F42" s="161">
        <v>40</v>
      </c>
      <c r="G42" s="161">
        <v>50</v>
      </c>
      <c r="H42" s="161">
        <v>60</v>
      </c>
    </row>
    <row r="43" spans="1:8" s="158" customFormat="1" ht="15.75">
      <c r="A43" s="159" t="s">
        <v>87</v>
      </c>
      <c r="B43" s="162">
        <f>$D$29*(B42/9.8)^(1/$D$28)</f>
        <v>0</v>
      </c>
      <c r="C43" s="162">
        <f t="shared" ref="C43:H43" si="0">$D$29*(C42/9.8)^(1/$D$28)</f>
        <v>206.19383085914234</v>
      </c>
      <c r="D43" s="162">
        <f t="shared" si="0"/>
        <v>298.12473170619188</v>
      </c>
      <c r="E43" s="162">
        <f t="shared" si="0"/>
        <v>369.88231650659793</v>
      </c>
      <c r="F43" s="162">
        <f t="shared" si="0"/>
        <v>431.0427488764422</v>
      </c>
      <c r="G43" s="162">
        <f t="shared" si="0"/>
        <v>485.36473967903828</v>
      </c>
      <c r="H43" s="162">
        <f t="shared" si="0"/>
        <v>534.79323756647193</v>
      </c>
    </row>
    <row r="44" spans="1:8" s="158" customFormat="1"/>
    <row r="45" spans="1:8" s="158" customFormat="1">
      <c r="A45" s="163" t="s">
        <v>72</v>
      </c>
    </row>
    <row r="46" spans="1:8">
      <c r="A46" s="92"/>
    </row>
  </sheetData>
  <sheetProtection selectLockedCells="1"/>
  <mergeCells count="10">
    <mergeCell ref="D26:G26"/>
    <mergeCell ref="D27:G27"/>
    <mergeCell ref="A39:F39"/>
    <mergeCell ref="G39:H39"/>
    <mergeCell ref="A1:D1"/>
    <mergeCell ref="E1:H1"/>
    <mergeCell ref="A2:E17"/>
    <mergeCell ref="A18:H18"/>
    <mergeCell ref="A19:H19"/>
    <mergeCell ref="A20:H20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>
      <selection activeCell="Q19" sqref="Q19"/>
    </sheetView>
  </sheetViews>
  <sheetFormatPr defaultColWidth="9" defaultRowHeight="13.5"/>
  <cols>
    <col min="1" max="1" width="6" style="22" customWidth="1"/>
    <col min="2" max="2" width="19.75" style="22" customWidth="1"/>
    <col min="3" max="3" width="21" style="22" customWidth="1"/>
    <col min="4" max="4" width="13" style="22" customWidth="1"/>
    <col min="5" max="8" width="12.625" style="22" customWidth="1"/>
    <col min="9" max="9" width="15.625" style="22" customWidth="1"/>
    <col min="10" max="10" width="16.625" style="23" customWidth="1"/>
    <col min="11" max="11" width="6.25" style="22" customWidth="1"/>
    <col min="12" max="12" width="9" style="22"/>
    <col min="13" max="13" width="3.375" style="22" customWidth="1"/>
    <col min="14" max="16384" width="9" style="22"/>
  </cols>
  <sheetData>
    <row r="1" spans="1:11" ht="14.25">
      <c r="A1" s="18" t="s">
        <v>32</v>
      </c>
      <c r="C1" s="20"/>
      <c r="D1" s="20"/>
      <c r="E1" s="20"/>
      <c r="F1" s="20"/>
      <c r="G1" s="20"/>
      <c r="H1" s="20"/>
      <c r="I1" s="20"/>
      <c r="J1" s="21"/>
    </row>
    <row r="2" spans="1:11">
      <c r="A2" s="20"/>
      <c r="C2" s="20"/>
      <c r="D2" s="20"/>
      <c r="E2" s="20"/>
      <c r="F2" s="20"/>
      <c r="G2" s="20"/>
      <c r="H2" s="20"/>
      <c r="I2" s="20"/>
      <c r="J2" s="21"/>
    </row>
    <row r="3" spans="1:11">
      <c r="A3" s="22" t="s">
        <v>78</v>
      </c>
    </row>
    <row r="4" spans="1:11" ht="14.25" thickBot="1"/>
    <row r="5" spans="1:11" ht="14.25" thickTop="1">
      <c r="B5" s="24" t="s">
        <v>0</v>
      </c>
      <c r="C5" s="25">
        <f>'PQ-SV042 小屋裏エコルーバー　四角形（固定）'!D24</f>
        <v>500</v>
      </c>
      <c r="D5" s="26"/>
      <c r="E5" s="27"/>
      <c r="F5" s="27"/>
      <c r="G5" s="27"/>
      <c r="H5" s="27"/>
      <c r="I5" s="27"/>
      <c r="J5" s="28"/>
      <c r="K5" s="29" t="s">
        <v>21</v>
      </c>
    </row>
    <row r="6" spans="1:11" ht="14.25" thickBot="1">
      <c r="B6" s="24" t="s">
        <v>1</v>
      </c>
      <c r="C6" s="30">
        <f>'PQ-SV042 小屋裏エコルーバー　四角形（固定）'!F24</f>
        <v>700</v>
      </c>
      <c r="D6" s="31"/>
      <c r="E6" s="32"/>
      <c r="F6" s="32"/>
      <c r="G6" s="32"/>
      <c r="H6" s="32"/>
      <c r="I6" s="32"/>
      <c r="J6" s="33"/>
      <c r="K6" s="34" t="s">
        <v>21</v>
      </c>
    </row>
    <row r="7" spans="1:11" ht="16.5" thickTop="1">
      <c r="B7" s="35" t="s">
        <v>35</v>
      </c>
      <c r="C7" s="36">
        <f>D7</f>
        <v>450.8</v>
      </c>
      <c r="D7" s="58">
        <f>IF(C5="","",IF(C5&lt;250,"製作範囲外",IF(C5&gt;1000,"製作範囲外",IF(C6="","",IF(C6&lt;300,"製作範囲外",IF(C6&gt;1300,"製作範囲外",J7))))))</f>
        <v>450.8</v>
      </c>
      <c r="E7" s="37"/>
      <c r="F7" s="37"/>
      <c r="G7" s="37"/>
      <c r="H7" s="37"/>
      <c r="I7" s="37"/>
      <c r="J7" s="38">
        <f>IF(C6="","",((($C$5-40)*((($C$6-180)/40)+1))*0.7)/10)</f>
        <v>450.8</v>
      </c>
      <c r="K7" s="26" t="s">
        <v>33</v>
      </c>
    </row>
    <row r="8" spans="1:11">
      <c r="B8" s="35" t="s">
        <v>20</v>
      </c>
      <c r="C8" s="39">
        <f>D8</f>
        <v>15.411965811965814</v>
      </c>
      <c r="D8" s="59">
        <f>IF(D7="製作範囲外","製作範囲外",J8)</f>
        <v>15.411965811965814</v>
      </c>
      <c r="E8" s="40"/>
      <c r="F8" s="40"/>
      <c r="G8" s="40"/>
      <c r="H8" s="40"/>
      <c r="I8" s="40"/>
      <c r="J8" s="41">
        <f>IF(C6="","",(通気面接計算シート!J7/製品面積!B6)*100)</f>
        <v>15.411965811965814</v>
      </c>
      <c r="K8" s="42" t="s">
        <v>22</v>
      </c>
    </row>
    <row r="9" spans="1:11">
      <c r="C9" s="40"/>
      <c r="D9" s="40"/>
      <c r="K9" s="40"/>
    </row>
    <row r="10" spans="1:11">
      <c r="A10" s="22" t="s">
        <v>79</v>
      </c>
    </row>
    <row r="11" spans="1:11" ht="14.25" thickBot="1">
      <c r="D11" s="284" t="s">
        <v>24</v>
      </c>
      <c r="E11" s="285"/>
      <c r="F11" s="284" t="s">
        <v>25</v>
      </c>
      <c r="G11" s="285"/>
      <c r="H11" s="55"/>
      <c r="I11" s="55"/>
    </row>
    <row r="12" spans="1:11" ht="14.25" thickTop="1">
      <c r="B12" s="24" t="s">
        <v>0</v>
      </c>
      <c r="C12" s="25">
        <f>'PQ-SV042 小屋裏排熱エコルーバー　五角形（固定式）'!D21</f>
        <v>500</v>
      </c>
      <c r="D12" s="283">
        <f>(((C12-40)*(((C13-180)/40)+1))*0.7)/10</f>
        <v>450.8</v>
      </c>
      <c r="E12" s="282"/>
      <c r="F12" s="281">
        <f>(D12*100)/((C12*C13)/100)</f>
        <v>12.88</v>
      </c>
      <c r="G12" s="282"/>
      <c r="H12" s="56"/>
      <c r="I12" s="56"/>
      <c r="J12" s="43"/>
      <c r="K12" s="29" t="s">
        <v>21</v>
      </c>
    </row>
    <row r="13" spans="1:11">
      <c r="B13" s="24" t="s">
        <v>1</v>
      </c>
      <c r="C13" s="48">
        <f>'PQ-SV042 小屋裏排熱エコルーバー　五角形（固定式）'!G21</f>
        <v>700</v>
      </c>
      <c r="D13" s="40"/>
      <c r="E13" s="40"/>
      <c r="F13" s="40"/>
      <c r="G13" s="40"/>
      <c r="H13" s="40"/>
      <c r="I13" s="40"/>
      <c r="K13" s="50" t="s">
        <v>21</v>
      </c>
    </row>
    <row r="14" spans="1:11" ht="14.25" thickBot="1">
      <c r="B14" s="24" t="s">
        <v>6</v>
      </c>
      <c r="C14" s="93">
        <f>'PQ-SV042 小屋裏排熱エコルーバー　五角形（固定式）'!D22</f>
        <v>27</v>
      </c>
      <c r="D14" s="51"/>
      <c r="E14" s="51"/>
      <c r="F14" s="51"/>
      <c r="G14" s="51"/>
      <c r="H14" s="51"/>
      <c r="I14" s="51"/>
      <c r="J14" s="54"/>
      <c r="K14" s="34" t="s">
        <v>23</v>
      </c>
    </row>
    <row r="15" spans="1:11" ht="16.5" thickTop="1">
      <c r="B15" s="35" t="s">
        <v>35</v>
      </c>
      <c r="C15" s="45">
        <f>D15</f>
        <v>409.78320131569853</v>
      </c>
      <c r="D15" s="61">
        <f>IF(E15="製作範囲外","製作範囲外",IF(C14="","",IF(C14&lt;19,"製作範囲外",IF(C14&gt;70,"製作範囲外",E15))))</f>
        <v>409.78320131569853</v>
      </c>
      <c r="E15" s="57">
        <f>IF(C12="","",IF(C12&lt;300,"製作範囲外",IF(C12&gt;1000,"製作範囲外",IF(C13="","",IF(C13&lt;300,"製作範囲外",IF(C13&gt;1300,"製作範囲外",J15))))))</f>
        <v>409.78320131569853</v>
      </c>
      <c r="F15" s="37"/>
      <c r="G15" s="37"/>
      <c r="H15" s="37"/>
      <c r="I15" s="37"/>
      <c r="J15" s="46">
        <f>((((C12*C13)/100)*F12/100)*(1-((((C12/2)*TAN(C14*PI()/180)*(C12/2))*100)/(C12*C13))/100))</f>
        <v>409.78320131569853</v>
      </c>
      <c r="K15" s="26" t="s">
        <v>33</v>
      </c>
    </row>
    <row r="16" spans="1:11">
      <c r="B16" s="35" t="s">
        <v>20</v>
      </c>
      <c r="C16" s="39">
        <f>D16</f>
        <v>15.442247520045917</v>
      </c>
      <c r="D16" s="59">
        <f>IF(D15="製作範囲外","製作範囲外",J16)</f>
        <v>15.442247520045917</v>
      </c>
      <c r="E16" s="40"/>
      <c r="F16" s="40"/>
      <c r="G16" s="40"/>
      <c r="H16" s="40"/>
      <c r="I16" s="40"/>
      <c r="J16" s="41">
        <f>IF(C14="","",(J15/製品面積!B49)*100)</f>
        <v>15.442247520045917</v>
      </c>
      <c r="K16" s="42" t="s">
        <v>22</v>
      </c>
    </row>
    <row r="18" spans="1:11" ht="14.25" thickBot="1">
      <c r="A18" s="22" t="s">
        <v>80</v>
      </c>
    </row>
    <row r="19" spans="1:11" ht="14.25" thickBot="1">
      <c r="D19" s="286" t="s">
        <v>30</v>
      </c>
      <c r="E19" s="287"/>
      <c r="F19" s="286" t="s">
        <v>31</v>
      </c>
      <c r="G19" s="287"/>
    </row>
    <row r="20" spans="1:11" ht="14.25" thickTop="1">
      <c r="B20" s="24" t="s">
        <v>0</v>
      </c>
      <c r="C20" s="25">
        <f>'PQ-SV042 小屋裏エコルーバー　片流れ（固定）'!D24</f>
        <v>500</v>
      </c>
      <c r="D20" s="281">
        <f>(((C20-40)*(((C21-180)/40)+1))*0.7)/10</f>
        <v>450.8</v>
      </c>
      <c r="E20" s="282"/>
      <c r="F20" s="281">
        <f>(D20*100)/((C20*C21)/100)</f>
        <v>12.88</v>
      </c>
      <c r="G20" s="282"/>
      <c r="H20" s="47"/>
      <c r="I20" s="47"/>
      <c r="J20" s="43"/>
      <c r="K20" s="29" t="s">
        <v>21</v>
      </c>
    </row>
    <row r="21" spans="1:11">
      <c r="B21" s="24" t="s">
        <v>1</v>
      </c>
      <c r="C21" s="48">
        <f>'PQ-SV042 小屋裏エコルーバー　片流れ（固定）'!F24</f>
        <v>700</v>
      </c>
      <c r="D21" s="40"/>
      <c r="E21" s="40"/>
      <c r="F21" s="40"/>
      <c r="G21" s="40"/>
      <c r="H21" s="49"/>
      <c r="I21" s="49"/>
      <c r="K21" s="50" t="s">
        <v>21</v>
      </c>
    </row>
    <row r="22" spans="1:11" ht="14.25" thickBot="1">
      <c r="B22" s="24" t="s">
        <v>6</v>
      </c>
      <c r="C22" s="30">
        <f>'PQ-SV042 小屋裏エコルーバー　片流れ（固定）'!D25</f>
        <v>27</v>
      </c>
      <c r="D22" s="51"/>
      <c r="E22" s="51"/>
      <c r="F22" s="51"/>
      <c r="G22" s="51"/>
      <c r="H22" s="51"/>
      <c r="I22" s="51"/>
      <c r="J22" s="44"/>
      <c r="K22" s="34" t="s">
        <v>23</v>
      </c>
    </row>
    <row r="23" spans="1:11" ht="16.5" thickTop="1">
      <c r="B23" s="35" t="s">
        <v>35</v>
      </c>
      <c r="C23" s="45">
        <f>D23</f>
        <v>286.73280526279393</v>
      </c>
      <c r="D23" s="60">
        <f>IF(E23="製作範囲外","製作範囲外",IF(C22="","",IF(C22&lt;19,"製作範囲外",IF(C22&gt;50,"製作範囲外",E23))))</f>
        <v>286.73280526279393</v>
      </c>
      <c r="E23" s="37">
        <f>IF(C20="","",IF(C20&lt;250,"製作範囲外",IF(C20&gt;1000,"製作範囲外",IF(C21="","",IF(C21&lt;300,"製作範囲外",IF(C21&gt;1300,"製作範囲外",J23))))))</f>
        <v>286.73280526279393</v>
      </c>
      <c r="F23" s="37"/>
      <c r="G23" s="37"/>
      <c r="H23" s="37"/>
      <c r="I23" s="37"/>
      <c r="J23" s="46">
        <f>((((C20*C21)/100)*F20/100)*(1-(((C20*TAN(C22*PI()/180)*C20)*100)/(C20*C21))/100))</f>
        <v>286.73280526279393</v>
      </c>
      <c r="K23" s="26" t="s">
        <v>34</v>
      </c>
    </row>
    <row r="24" spans="1:11">
      <c r="B24" s="35" t="s">
        <v>20</v>
      </c>
      <c r="C24" s="39">
        <f>D24</f>
        <v>12.260612116511403</v>
      </c>
      <c r="D24" s="59">
        <f>IF(D23="製作範囲外","製作範囲外",J24)</f>
        <v>12.260612116511403</v>
      </c>
      <c r="E24" s="40"/>
      <c r="F24" s="40"/>
      <c r="G24" s="40"/>
      <c r="H24" s="40"/>
      <c r="I24" s="40"/>
      <c r="J24" s="41">
        <f>IF(C22="","",(J23/製品面積!B26)*100)</f>
        <v>12.260612116511403</v>
      </c>
      <c r="K24" s="42" t="s">
        <v>22</v>
      </c>
    </row>
    <row r="25" spans="1:11">
      <c r="B25" s="40"/>
      <c r="C25" s="52"/>
      <c r="H25" s="40"/>
      <c r="I25" s="40"/>
      <c r="J25" s="53"/>
      <c r="K25" s="40"/>
    </row>
    <row r="26" spans="1:11">
      <c r="J26" s="22"/>
      <c r="K26" s="22" t="s">
        <v>36</v>
      </c>
    </row>
    <row r="27" spans="1:11">
      <c r="J27" s="22"/>
    </row>
    <row r="28" spans="1:11">
      <c r="J28" s="22"/>
    </row>
    <row r="29" spans="1:11">
      <c r="J29" s="22"/>
    </row>
    <row r="30" spans="1:11">
      <c r="J30" s="22"/>
    </row>
    <row r="31" spans="1:11">
      <c r="J31" s="22"/>
    </row>
    <row r="32" spans="1:11">
      <c r="J32" s="22"/>
    </row>
    <row r="33" spans="10:10">
      <c r="J33" s="22"/>
    </row>
    <row r="34" spans="10:10">
      <c r="J34" s="22"/>
    </row>
    <row r="35" spans="10:10">
      <c r="J35" s="22"/>
    </row>
    <row r="36" spans="10:10">
      <c r="J36" s="22"/>
    </row>
    <row r="37" spans="10:10">
      <c r="J37" s="22"/>
    </row>
    <row r="38" spans="10:10">
      <c r="J38" s="22"/>
    </row>
    <row r="39" spans="10:10">
      <c r="J39" s="22"/>
    </row>
    <row r="40" spans="10:10">
      <c r="J40" s="22"/>
    </row>
    <row r="50" ht="9" customHeight="1"/>
    <row r="58" ht="9" customHeight="1"/>
  </sheetData>
  <mergeCells count="8">
    <mergeCell ref="D20:E20"/>
    <mergeCell ref="F20:G20"/>
    <mergeCell ref="F12:G12"/>
    <mergeCell ref="D12:E12"/>
    <mergeCell ref="F11:G11"/>
    <mergeCell ref="D11:E11"/>
    <mergeCell ref="D19:E19"/>
    <mergeCell ref="F19:G19"/>
  </mergeCells>
  <phoneticPr fontId="1"/>
  <pageMargins left="0.7" right="0.7" top="0.75" bottom="0.75" header="0.3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37" workbookViewId="0">
      <selection activeCell="F28" sqref="F28"/>
    </sheetView>
  </sheetViews>
  <sheetFormatPr defaultRowHeight="13.5"/>
  <cols>
    <col min="1" max="1" width="23.25" customWidth="1"/>
    <col min="2" max="2" width="11.75" customWidth="1"/>
    <col min="3" max="6" width="9.625" customWidth="1"/>
    <col min="7" max="7" width="15.875" customWidth="1"/>
    <col min="8" max="8" width="6.25" customWidth="1"/>
  </cols>
  <sheetData>
    <row r="1" spans="1:8" ht="23.25" customHeight="1">
      <c r="A1" s="3" t="s">
        <v>13</v>
      </c>
      <c r="B1" s="3"/>
      <c r="C1" s="3"/>
      <c r="D1" s="3"/>
      <c r="E1" s="3"/>
      <c r="F1" s="3"/>
      <c r="G1" s="3"/>
    </row>
    <row r="2" spans="1:8" s="1" customFormat="1" ht="17.25">
      <c r="A2" s="1" t="s">
        <v>3</v>
      </c>
    </row>
    <row r="3" spans="1:8" s="1" customFormat="1" ht="9" customHeight="1"/>
    <row r="4" spans="1:8" s="1" customFormat="1" ht="17.25">
      <c r="A4" s="2" t="s">
        <v>0</v>
      </c>
      <c r="B4" s="19">
        <f>通気面接計算シート!C5</f>
        <v>500</v>
      </c>
      <c r="C4" s="10">
        <f>B4-50</f>
        <v>450</v>
      </c>
      <c r="D4" s="2"/>
      <c r="E4" s="2"/>
      <c r="F4" s="2"/>
      <c r="G4" s="7"/>
      <c r="H4" s="10" t="s">
        <v>11</v>
      </c>
    </row>
    <row r="5" spans="1:8" s="1" customFormat="1" ht="17.25">
      <c r="A5" s="2" t="s">
        <v>1</v>
      </c>
      <c r="B5" s="19">
        <f>通気面接計算シート!C6</f>
        <v>700</v>
      </c>
      <c r="C5" s="10">
        <f>B5-50</f>
        <v>650</v>
      </c>
      <c r="D5" s="2"/>
      <c r="E5" s="2"/>
      <c r="F5" s="2"/>
      <c r="G5" s="7"/>
      <c r="H5" s="10" t="s">
        <v>11</v>
      </c>
    </row>
    <row r="6" spans="1:8" s="1" customFormat="1" ht="20.25">
      <c r="A6" s="2" t="s">
        <v>2</v>
      </c>
      <c r="B6" s="7">
        <f>G6</f>
        <v>2925</v>
      </c>
      <c r="C6" s="10"/>
      <c r="D6" s="2"/>
      <c r="E6" s="2"/>
      <c r="F6" s="2"/>
      <c r="G6" s="7">
        <f>IF(B5="","",(B4-50)*(B5-50)/100)</f>
        <v>2925</v>
      </c>
      <c r="H6" s="10" t="s">
        <v>12</v>
      </c>
    </row>
    <row r="7" spans="1:8" s="1" customFormat="1" ht="17.25">
      <c r="B7" s="9"/>
      <c r="C7" s="9"/>
      <c r="G7" s="9"/>
      <c r="H7" s="9"/>
    </row>
    <row r="8" spans="1:8" s="1" customFormat="1" ht="17.25">
      <c r="A8" s="1" t="s">
        <v>4</v>
      </c>
      <c r="B8" s="9"/>
      <c r="C8" s="9"/>
      <c r="G8" s="9"/>
      <c r="H8" s="9"/>
    </row>
    <row r="9" spans="1:8" s="1" customFormat="1" ht="9" customHeight="1">
      <c r="B9" s="9"/>
      <c r="C9" s="9"/>
      <c r="G9" s="9"/>
      <c r="H9" s="9"/>
    </row>
    <row r="10" spans="1:8" s="1" customFormat="1" ht="17.25">
      <c r="A10" s="2" t="s">
        <v>0</v>
      </c>
      <c r="B10" s="19" t="e">
        <f>通気面接計算シート!#REF!</f>
        <v>#REF!</v>
      </c>
      <c r="C10" s="10" t="e">
        <f>B10-50</f>
        <v>#REF!</v>
      </c>
      <c r="D10" s="2"/>
      <c r="E10" s="2"/>
      <c r="F10" s="2"/>
      <c r="G10" s="7"/>
      <c r="H10" s="10" t="s">
        <v>11</v>
      </c>
    </row>
    <row r="11" spans="1:8" s="1" customFormat="1" ht="17.25">
      <c r="A11" s="2" t="s">
        <v>1</v>
      </c>
      <c r="B11" s="19" t="e">
        <f>通気面接計算シート!#REF!</f>
        <v>#REF!</v>
      </c>
      <c r="C11" s="10" t="e">
        <f>B11-50</f>
        <v>#REF!</v>
      </c>
      <c r="D11" s="2"/>
      <c r="E11" s="2"/>
      <c r="F11" s="2"/>
      <c r="G11" s="7"/>
      <c r="H11" s="10" t="s">
        <v>11</v>
      </c>
    </row>
    <row r="12" spans="1:8" s="1" customFormat="1" ht="20.25">
      <c r="A12" s="2" t="s">
        <v>2</v>
      </c>
      <c r="B12" s="7" t="e">
        <f>G12</f>
        <v>#REF!</v>
      </c>
      <c r="C12" s="10"/>
      <c r="D12" s="2"/>
      <c r="E12" s="2"/>
      <c r="F12" s="2"/>
      <c r="G12" s="7" t="e">
        <f>IF(B11="","",(B10-50)*(B11-50)/100)</f>
        <v>#REF!</v>
      </c>
      <c r="H12" s="10" t="s">
        <v>12</v>
      </c>
    </row>
    <row r="13" spans="1:8" s="1" customFormat="1" ht="17.25">
      <c r="B13" s="9"/>
      <c r="C13" s="9"/>
      <c r="G13" s="9"/>
      <c r="H13" s="9"/>
    </row>
    <row r="14" spans="1:8" s="1" customFormat="1" ht="17.25">
      <c r="A14" s="1" t="s">
        <v>5</v>
      </c>
      <c r="B14" s="9"/>
      <c r="C14" s="9"/>
      <c r="G14" s="9"/>
      <c r="H14" s="9"/>
    </row>
    <row r="15" spans="1:8" s="1" customFormat="1" ht="9" customHeight="1">
      <c r="B15" s="9"/>
      <c r="C15" s="9"/>
      <c r="G15" s="9"/>
      <c r="H15" s="9"/>
    </row>
    <row r="16" spans="1:8" s="1" customFormat="1" ht="17.25">
      <c r="A16" s="2" t="s">
        <v>0</v>
      </c>
      <c r="B16" s="19" t="e">
        <f>通気面接計算シート!#REF!</f>
        <v>#REF!</v>
      </c>
      <c r="C16" s="10" t="e">
        <f>B16-50</f>
        <v>#REF!</v>
      </c>
      <c r="D16" s="2"/>
      <c r="E16" s="2"/>
      <c r="F16" s="2"/>
      <c r="G16" s="7"/>
      <c r="H16" s="10" t="s">
        <v>11</v>
      </c>
    </row>
    <row r="17" spans="1:10" s="1" customFormat="1" ht="17.25">
      <c r="A17" s="2" t="s">
        <v>1</v>
      </c>
      <c r="B17" s="19" t="e">
        <f>通気面接計算シート!#REF!</f>
        <v>#REF!</v>
      </c>
      <c r="C17" s="10" t="e">
        <f>B17-50</f>
        <v>#REF!</v>
      </c>
      <c r="D17" s="2"/>
      <c r="E17" s="2"/>
      <c r="F17" s="2"/>
      <c r="G17" s="7"/>
      <c r="H17" s="10" t="s">
        <v>11</v>
      </c>
    </row>
    <row r="18" spans="1:10" s="1" customFormat="1" ht="20.25">
      <c r="A18" s="2" t="s">
        <v>2</v>
      </c>
      <c r="B18" s="7" t="e">
        <f>G18</f>
        <v>#REF!</v>
      </c>
      <c r="C18" s="10"/>
      <c r="D18" s="2"/>
      <c r="E18" s="2"/>
      <c r="F18" s="2"/>
      <c r="G18" s="7" t="e">
        <f>IF(B17="","",(B16-50)*(B17-50)/100)</f>
        <v>#REF!</v>
      </c>
      <c r="H18" s="10" t="s">
        <v>12</v>
      </c>
    </row>
    <row r="19" spans="1:10" s="1" customFormat="1" ht="17.25">
      <c r="B19" s="9"/>
      <c r="C19" s="9"/>
      <c r="G19" s="9"/>
      <c r="H19" s="9"/>
    </row>
    <row r="20" spans="1:10" s="1" customFormat="1" ht="17.25">
      <c r="A20" s="1" t="s">
        <v>19</v>
      </c>
      <c r="B20"/>
      <c r="C20"/>
      <c r="D20"/>
      <c r="E20"/>
      <c r="F20"/>
      <c r="G20"/>
      <c r="H20"/>
      <c r="I20"/>
      <c r="J20"/>
    </row>
    <row r="21" spans="1:10" s="1" customFormat="1" ht="17.25">
      <c r="A21"/>
      <c r="B21"/>
      <c r="C21"/>
      <c r="D21"/>
      <c r="E21"/>
      <c r="F21"/>
      <c r="G21"/>
      <c r="H21"/>
      <c r="I21"/>
      <c r="J21"/>
    </row>
    <row r="22" spans="1:10" s="1" customFormat="1" ht="17.25">
      <c r="B22" s="9"/>
      <c r="C22" s="11" t="s">
        <v>14</v>
      </c>
      <c r="D22" s="6" t="s">
        <v>15</v>
      </c>
      <c r="E22" s="11" t="s">
        <v>16</v>
      </c>
      <c r="F22" s="6" t="s">
        <v>17</v>
      </c>
      <c r="G22" s="13" t="s">
        <v>26</v>
      </c>
      <c r="H22" s="9"/>
    </row>
    <row r="23" spans="1:10" s="1" customFormat="1" ht="17.25">
      <c r="A23" s="2" t="s">
        <v>0</v>
      </c>
      <c r="B23" s="7">
        <f>通気面接計算シート!C20</f>
        <v>500</v>
      </c>
      <c r="C23" s="16">
        <f>IF(B25="","",INT(ROUNDDOWN(B23*TAN(RADIANS(B25)),1)))</f>
        <v>254</v>
      </c>
      <c r="D23" s="16">
        <f>B24-C23</f>
        <v>446</v>
      </c>
      <c r="E23" s="17">
        <f>((B23*C23)/2)/100</f>
        <v>635</v>
      </c>
      <c r="F23" s="17">
        <f>D23*B23/100</f>
        <v>2230</v>
      </c>
      <c r="G23" s="16">
        <f>E23+F23</f>
        <v>2865</v>
      </c>
      <c r="H23" s="10" t="s">
        <v>11</v>
      </c>
    </row>
    <row r="24" spans="1:10" s="1" customFormat="1" ht="17.25">
      <c r="A24" s="2" t="s">
        <v>1</v>
      </c>
      <c r="B24" s="7">
        <f>通気面接計算シート!C21</f>
        <v>700</v>
      </c>
      <c r="C24" s="5"/>
      <c r="D24" s="5"/>
      <c r="E24" s="4">
        <f>(((B23-50)*D26)/2)/100</f>
        <v>515.70000000000005</v>
      </c>
      <c r="F24" s="4">
        <f>(B23-50)*E26/100</f>
        <v>1822.95</v>
      </c>
      <c r="G24" s="5">
        <f>E24+F24</f>
        <v>2338.65</v>
      </c>
      <c r="H24" s="10" t="s">
        <v>11</v>
      </c>
    </row>
    <row r="25" spans="1:10" s="1" customFormat="1" ht="17.25">
      <c r="A25" s="2" t="s">
        <v>6</v>
      </c>
      <c r="B25" s="7">
        <f>通気面接計算シート!C22</f>
        <v>27</v>
      </c>
      <c r="C25" s="15" t="s">
        <v>28</v>
      </c>
      <c r="D25" s="15" t="s">
        <v>27</v>
      </c>
      <c r="E25" s="15" t="s">
        <v>29</v>
      </c>
      <c r="F25" s="9"/>
      <c r="G25" s="9"/>
      <c r="H25" s="10"/>
    </row>
    <row r="26" spans="1:10" s="1" customFormat="1" ht="20.25">
      <c r="A26" s="2" t="s">
        <v>2</v>
      </c>
      <c r="B26" s="12">
        <f>G24</f>
        <v>2338.65</v>
      </c>
      <c r="C26" s="14">
        <f>ROUNDDOWN(25/TAN(RADIANS((90-B25)/2)),1)</f>
        <v>40.700000000000003</v>
      </c>
      <c r="D26" s="14">
        <f>ROUNDDOWN((B23-50)*TAN(RADIANS(B25)),1)</f>
        <v>229.2</v>
      </c>
      <c r="E26" s="14">
        <f>ROUNDDOWN(B24-(25+C26+D26),1)</f>
        <v>405.1</v>
      </c>
      <c r="G26" s="9"/>
      <c r="H26" s="10" t="s">
        <v>12</v>
      </c>
    </row>
    <row r="27" spans="1:10" s="1" customFormat="1" ht="17.25"/>
    <row r="28" spans="1:10" s="1" customFormat="1" ht="17.25">
      <c r="A28" s="1" t="s">
        <v>9</v>
      </c>
      <c r="B28"/>
      <c r="C28"/>
      <c r="D28"/>
      <c r="E28"/>
      <c r="F28"/>
      <c r="G28"/>
      <c r="H28"/>
      <c r="I28"/>
      <c r="J28"/>
    </row>
    <row r="29" spans="1:10" s="1" customFormat="1" ht="17.25">
      <c r="A29"/>
      <c r="B29"/>
      <c r="C29"/>
      <c r="D29"/>
      <c r="E29"/>
      <c r="F29"/>
      <c r="G29"/>
      <c r="H29"/>
      <c r="I29"/>
      <c r="J29"/>
    </row>
    <row r="30" spans="1:10" s="1" customFormat="1" ht="17.25">
      <c r="B30" s="9"/>
      <c r="C30" s="11" t="s">
        <v>14</v>
      </c>
      <c r="D30" s="6" t="s">
        <v>15</v>
      </c>
      <c r="E30" s="11" t="s">
        <v>16</v>
      </c>
      <c r="F30" s="6" t="s">
        <v>17</v>
      </c>
      <c r="G30" s="13" t="s">
        <v>26</v>
      </c>
      <c r="H30" s="9"/>
    </row>
    <row r="31" spans="1:10" s="1" customFormat="1" ht="17.25">
      <c r="A31" s="2" t="s">
        <v>0</v>
      </c>
      <c r="B31" s="7" t="e">
        <f>通気面接計算シート!#REF!</f>
        <v>#REF!</v>
      </c>
      <c r="C31" s="16" t="e">
        <f>IF(B33="","",INT(ROUNDDOWN(B31*TAN(RADIANS(B33)),1)))</f>
        <v>#REF!</v>
      </c>
      <c r="D31" s="16" t="e">
        <f>B32-C31</f>
        <v>#REF!</v>
      </c>
      <c r="E31" s="17" t="e">
        <f>((B31*C31)/2)/100</f>
        <v>#REF!</v>
      </c>
      <c r="F31" s="17" t="e">
        <f>D31*B31/100</f>
        <v>#REF!</v>
      </c>
      <c r="G31" s="16" t="e">
        <f>E31+F31</f>
        <v>#REF!</v>
      </c>
      <c r="H31" s="10" t="s">
        <v>11</v>
      </c>
    </row>
    <row r="32" spans="1:10" s="1" customFormat="1" ht="17.25">
      <c r="A32" s="2" t="s">
        <v>1</v>
      </c>
      <c r="B32" s="7" t="e">
        <f>通気面接計算シート!#REF!</f>
        <v>#REF!</v>
      </c>
      <c r="C32" s="5"/>
      <c r="D32" s="5"/>
      <c r="E32" s="4" t="e">
        <f>(((B31-50)*D34)/2)/100</f>
        <v>#REF!</v>
      </c>
      <c r="F32" s="4" t="e">
        <f>(B31-50)*E34/100</f>
        <v>#REF!</v>
      </c>
      <c r="G32" s="5" t="e">
        <f>E32+F32</f>
        <v>#REF!</v>
      </c>
      <c r="H32" s="10" t="s">
        <v>11</v>
      </c>
    </row>
    <row r="33" spans="1:10" s="1" customFormat="1" ht="17.25">
      <c r="A33" s="2" t="s">
        <v>6</v>
      </c>
      <c r="B33" s="7" t="e">
        <f>通気面接計算シート!#REF!</f>
        <v>#REF!</v>
      </c>
      <c r="C33" s="15" t="s">
        <v>28</v>
      </c>
      <c r="D33" s="15" t="s">
        <v>27</v>
      </c>
      <c r="E33" s="15" t="s">
        <v>29</v>
      </c>
      <c r="F33" s="9"/>
      <c r="G33" s="9"/>
      <c r="H33" s="10"/>
    </row>
    <row r="34" spans="1:10" s="1" customFormat="1" ht="20.25">
      <c r="A34" s="2" t="s">
        <v>2</v>
      </c>
      <c r="B34" s="12" t="e">
        <f>G32</f>
        <v>#REF!</v>
      </c>
      <c r="C34" s="14" t="e">
        <f>ROUNDDOWN(25/TAN(RADIANS((90-B33)/2)),1)</f>
        <v>#REF!</v>
      </c>
      <c r="D34" s="14" t="e">
        <f>ROUNDDOWN((B31-50)*TAN(RADIANS(B33)),1)</f>
        <v>#REF!</v>
      </c>
      <c r="E34" s="14" t="e">
        <f>ROUNDDOWN(B32-(25+C34+D34),1)</f>
        <v>#REF!</v>
      </c>
      <c r="G34" s="9"/>
      <c r="H34" s="10" t="s">
        <v>12</v>
      </c>
    </row>
    <row r="35" spans="1:10" s="1" customFormat="1" ht="17.25"/>
    <row r="36" spans="1:10" s="1" customFormat="1" ht="17.25">
      <c r="A36" s="1" t="s">
        <v>10</v>
      </c>
      <c r="B36"/>
      <c r="C36"/>
      <c r="D36"/>
      <c r="E36"/>
      <c r="F36"/>
      <c r="G36"/>
      <c r="H36"/>
      <c r="I36"/>
      <c r="J36"/>
    </row>
    <row r="37" spans="1:10" s="1" customFormat="1" ht="17.25">
      <c r="B37" s="9"/>
      <c r="C37" s="11" t="s">
        <v>14</v>
      </c>
      <c r="D37" s="6" t="s">
        <v>15</v>
      </c>
      <c r="E37" s="11" t="s">
        <v>16</v>
      </c>
      <c r="F37" s="6" t="s">
        <v>17</v>
      </c>
      <c r="G37" s="13" t="s">
        <v>26</v>
      </c>
      <c r="H37" s="9"/>
    </row>
    <row r="38" spans="1:10" s="1" customFormat="1" ht="17.25">
      <c r="A38" s="2" t="s">
        <v>0</v>
      </c>
      <c r="B38" s="7" t="e">
        <f>通気面接計算シート!#REF!</f>
        <v>#REF!</v>
      </c>
      <c r="C38" s="16" t="e">
        <f>IF(B40="","",INT(ROUNDDOWN(B38*TAN(RADIANS(B40)),1)))</f>
        <v>#REF!</v>
      </c>
      <c r="D38" s="16" t="e">
        <f>B39-C38</f>
        <v>#REF!</v>
      </c>
      <c r="E38" s="17" t="e">
        <f>((B38*C38)/2)/100</f>
        <v>#REF!</v>
      </c>
      <c r="F38" s="17" t="e">
        <f>D38*B38/100</f>
        <v>#REF!</v>
      </c>
      <c r="G38" s="16" t="e">
        <f>E38+F38</f>
        <v>#REF!</v>
      </c>
      <c r="H38" s="10" t="s">
        <v>11</v>
      </c>
    </row>
    <row r="39" spans="1:10" s="1" customFormat="1" ht="17.25">
      <c r="A39" s="2" t="s">
        <v>1</v>
      </c>
      <c r="B39" s="7" t="e">
        <f>通気面接計算シート!#REF!</f>
        <v>#REF!</v>
      </c>
      <c r="C39" s="5"/>
      <c r="D39" s="5"/>
      <c r="E39" s="4" t="e">
        <f>(((B38-50)*D41)/2)/100</f>
        <v>#REF!</v>
      </c>
      <c r="F39" s="4" t="e">
        <f>(B38-50)*E41/100</f>
        <v>#REF!</v>
      </c>
      <c r="G39" s="5" t="e">
        <f>E39+F39</f>
        <v>#REF!</v>
      </c>
      <c r="H39" s="10" t="s">
        <v>11</v>
      </c>
    </row>
    <row r="40" spans="1:10" s="1" customFormat="1" ht="17.25">
      <c r="A40" s="2" t="s">
        <v>6</v>
      </c>
      <c r="B40" s="7" t="e">
        <f>通気面接計算シート!#REF!</f>
        <v>#REF!</v>
      </c>
      <c r="C40" s="15" t="s">
        <v>28</v>
      </c>
      <c r="D40" s="15" t="s">
        <v>27</v>
      </c>
      <c r="E40" s="15" t="s">
        <v>29</v>
      </c>
      <c r="F40" s="9"/>
      <c r="G40" s="9"/>
      <c r="H40" s="10"/>
    </row>
    <row r="41" spans="1:10" s="1" customFormat="1" ht="20.25">
      <c r="A41" s="2" t="s">
        <v>2</v>
      </c>
      <c r="B41" s="12" t="e">
        <f>G39</f>
        <v>#REF!</v>
      </c>
      <c r="C41" s="14" t="e">
        <f>ROUNDDOWN(25/TAN(RADIANS((90-B40)/2)),1)</f>
        <v>#REF!</v>
      </c>
      <c r="D41" s="14" t="e">
        <f>ROUNDDOWN((B38-50)*TAN(RADIANS(B40)),1)</f>
        <v>#REF!</v>
      </c>
      <c r="E41" s="14" t="e">
        <f>ROUNDDOWN(B39-(25+C41+D41),1)</f>
        <v>#REF!</v>
      </c>
      <c r="G41" s="9"/>
      <c r="H41" s="10" t="s">
        <v>12</v>
      </c>
    </row>
    <row r="42" spans="1:10" s="1" customFormat="1" ht="17.25"/>
    <row r="43" spans="1:10" s="1" customFormat="1" ht="17.25">
      <c r="A43" s="1" t="s">
        <v>7</v>
      </c>
    </row>
    <row r="44" spans="1:10" s="1" customFormat="1" ht="9" customHeight="1"/>
    <row r="45" spans="1:10" s="1" customFormat="1" ht="17.25">
      <c r="B45" s="9"/>
      <c r="C45" s="11" t="s">
        <v>14</v>
      </c>
      <c r="D45" s="6" t="s">
        <v>15</v>
      </c>
      <c r="E45" s="11" t="s">
        <v>16</v>
      </c>
      <c r="F45" s="6" t="s">
        <v>17</v>
      </c>
      <c r="G45" s="13" t="s">
        <v>26</v>
      </c>
      <c r="H45" s="9"/>
    </row>
    <row r="46" spans="1:10" s="1" customFormat="1" ht="17.25">
      <c r="A46" s="2" t="s">
        <v>0</v>
      </c>
      <c r="B46" s="7">
        <f>通気面接計算シート!C12</f>
        <v>500</v>
      </c>
      <c r="C46" s="16">
        <f>IF(B48="","",INT(ROUNDDOWN((B46/2)*TAN(RADIANS(B48)),1)))</f>
        <v>127</v>
      </c>
      <c r="D46" s="16">
        <f>B47-C46</f>
        <v>573</v>
      </c>
      <c r="E46" s="17">
        <f>((B46*C46)/2)/100</f>
        <v>317.5</v>
      </c>
      <c r="F46" s="17">
        <f>D46*B46/100</f>
        <v>2865</v>
      </c>
      <c r="G46" s="16">
        <f>E46+F46</f>
        <v>3182.5</v>
      </c>
      <c r="H46" s="10" t="s">
        <v>11</v>
      </c>
    </row>
    <row r="47" spans="1:10" s="1" customFormat="1" ht="17.25">
      <c r="A47" s="2" t="s">
        <v>1</v>
      </c>
      <c r="B47" s="7">
        <f>通気面接計算シート!C13</f>
        <v>700</v>
      </c>
      <c r="C47" s="8"/>
      <c r="D47" s="8"/>
      <c r="E47" s="4">
        <f>(((B46-50)/2)*D49)/100</f>
        <v>257.85000000000002</v>
      </c>
      <c r="F47" s="4">
        <f>(B46-50)*E49/100</f>
        <v>2395.8000000000002</v>
      </c>
      <c r="G47" s="5">
        <f>E47+F47</f>
        <v>2653.65</v>
      </c>
      <c r="H47" s="10" t="s">
        <v>11</v>
      </c>
    </row>
    <row r="48" spans="1:10" s="1" customFormat="1" ht="17.25">
      <c r="A48" s="2" t="s">
        <v>6</v>
      </c>
      <c r="B48" s="7">
        <f>通気面接計算シート!C14</f>
        <v>27</v>
      </c>
      <c r="C48" s="15" t="s">
        <v>28</v>
      </c>
      <c r="D48" s="15" t="s">
        <v>27</v>
      </c>
      <c r="E48" s="15" t="s">
        <v>29</v>
      </c>
      <c r="F48" s="9"/>
      <c r="G48" s="9"/>
      <c r="H48" s="10"/>
    </row>
    <row r="49" spans="1:8" s="1" customFormat="1" ht="20.25">
      <c r="A49" s="2" t="s">
        <v>2</v>
      </c>
      <c r="B49" s="12">
        <f>G47</f>
        <v>2653.65</v>
      </c>
      <c r="C49" s="14">
        <f>ROUNDDOWN(25/COS(RADIANS(B48)),1)</f>
        <v>28</v>
      </c>
      <c r="D49" s="14">
        <f>ROUNDDOWN(((B46-50)/2)*TAN(RADIANS(B48)),1)</f>
        <v>114.6</v>
      </c>
      <c r="E49" s="14">
        <f>ROUNDDOWN(B47-(25+C49+D49),1)</f>
        <v>532.4</v>
      </c>
      <c r="G49" s="9"/>
      <c r="H49" s="10" t="s">
        <v>12</v>
      </c>
    </row>
    <row r="50" spans="1:8" s="1" customFormat="1" ht="17.25"/>
    <row r="51" spans="1:8" s="1" customFormat="1" ht="17.25">
      <c r="A51" s="1" t="s">
        <v>8</v>
      </c>
    </row>
    <row r="52" spans="1:8" s="1" customFormat="1" ht="9" customHeight="1"/>
    <row r="53" spans="1:8" s="1" customFormat="1" ht="17.25">
      <c r="B53" s="9"/>
      <c r="C53" s="11" t="s">
        <v>14</v>
      </c>
      <c r="D53" s="6" t="s">
        <v>15</v>
      </c>
      <c r="E53" s="11" t="s">
        <v>16</v>
      </c>
      <c r="F53" s="6" t="s">
        <v>17</v>
      </c>
      <c r="G53" s="13" t="s">
        <v>26</v>
      </c>
      <c r="H53" s="9"/>
    </row>
    <row r="54" spans="1:8" s="1" customFormat="1" ht="17.25">
      <c r="A54" s="2" t="s">
        <v>0</v>
      </c>
      <c r="B54" s="7" t="e">
        <f>通気面接計算シート!#REF!</f>
        <v>#REF!</v>
      </c>
      <c r="C54" s="16" t="e">
        <f>IF(B56="","",INT(ROUNDDOWN((B54/2)*TAN(RADIANS(B56)),1)))</f>
        <v>#REF!</v>
      </c>
      <c r="D54" s="16" t="e">
        <f>B55-C54</f>
        <v>#REF!</v>
      </c>
      <c r="E54" s="17" t="e">
        <f>((B54*C54)/2)/100</f>
        <v>#REF!</v>
      </c>
      <c r="F54" s="17" t="e">
        <f>D54*B54/100</f>
        <v>#REF!</v>
      </c>
      <c r="G54" s="16" t="e">
        <f>E54+F54</f>
        <v>#REF!</v>
      </c>
      <c r="H54" s="10" t="s">
        <v>11</v>
      </c>
    </row>
    <row r="55" spans="1:8" s="1" customFormat="1" ht="17.25">
      <c r="A55" s="2" t="s">
        <v>1</v>
      </c>
      <c r="B55" s="7" t="e">
        <f>通気面接計算シート!#REF!</f>
        <v>#REF!</v>
      </c>
      <c r="C55" s="8"/>
      <c r="D55" s="8"/>
      <c r="E55" s="4" t="e">
        <f>(((B54-50)/2)*D57)/100</f>
        <v>#REF!</v>
      </c>
      <c r="F55" s="4" t="e">
        <f>(B54-50)*E57/100</f>
        <v>#REF!</v>
      </c>
      <c r="G55" s="5" t="e">
        <f>E55+F55</f>
        <v>#REF!</v>
      </c>
      <c r="H55" s="10" t="s">
        <v>11</v>
      </c>
    </row>
    <row r="56" spans="1:8" s="1" customFormat="1" ht="17.25">
      <c r="A56" s="2" t="s">
        <v>6</v>
      </c>
      <c r="B56" s="7" t="e">
        <f>通気面接計算シート!#REF!</f>
        <v>#REF!</v>
      </c>
      <c r="C56" s="15" t="s">
        <v>28</v>
      </c>
      <c r="D56" s="15" t="s">
        <v>27</v>
      </c>
      <c r="E56" s="15" t="s">
        <v>29</v>
      </c>
      <c r="F56" s="9"/>
      <c r="G56" s="9"/>
      <c r="H56" s="10"/>
    </row>
    <row r="57" spans="1:8" s="1" customFormat="1" ht="20.25">
      <c r="A57" s="2" t="s">
        <v>2</v>
      </c>
      <c r="B57" s="12" t="e">
        <f>G55</f>
        <v>#REF!</v>
      </c>
      <c r="C57" s="14" t="e">
        <f>ROUNDDOWN(25/COS(RADIANS(B56)),1)</f>
        <v>#REF!</v>
      </c>
      <c r="D57" s="14" t="e">
        <f>ROUNDDOWN(((B54-50)/2)*TAN(RADIANS(B56)),1)</f>
        <v>#REF!</v>
      </c>
      <c r="E57" s="14" t="e">
        <f>ROUNDDOWN(B55-(25+C57+D57),1)</f>
        <v>#REF!</v>
      </c>
      <c r="G57" s="9"/>
      <c r="H57" s="10" t="s">
        <v>12</v>
      </c>
    </row>
    <row r="58" spans="1:8" s="1" customFormat="1" ht="17.25"/>
    <row r="59" spans="1:8" s="1" customFormat="1" ht="17.25">
      <c r="A59" s="1" t="s">
        <v>18</v>
      </c>
    </row>
    <row r="60" spans="1:8" s="1" customFormat="1" ht="17.25">
      <c r="B60" s="9"/>
      <c r="C60" s="11" t="s">
        <v>14</v>
      </c>
      <c r="D60" s="6" t="s">
        <v>15</v>
      </c>
      <c r="E60" s="11" t="s">
        <v>16</v>
      </c>
      <c r="F60" s="6" t="s">
        <v>17</v>
      </c>
      <c r="G60" s="13" t="s">
        <v>26</v>
      </c>
      <c r="H60" s="9"/>
    </row>
    <row r="61" spans="1:8" s="1" customFormat="1" ht="17.25">
      <c r="A61" s="2" t="s">
        <v>0</v>
      </c>
      <c r="B61" s="7" t="e">
        <f>通気面接計算シート!#REF!</f>
        <v>#REF!</v>
      </c>
      <c r="C61" s="16" t="e">
        <f>IF(B63="","",INT(ROUNDDOWN((B61/2)*TAN(RADIANS(B63)),1)))</f>
        <v>#REF!</v>
      </c>
      <c r="D61" s="16" t="e">
        <f>B62-C61</f>
        <v>#REF!</v>
      </c>
      <c r="E61" s="17" t="e">
        <f>((B61*C61)/2)/100</f>
        <v>#REF!</v>
      </c>
      <c r="F61" s="17" t="e">
        <f>D61*B61/100</f>
        <v>#REF!</v>
      </c>
      <c r="G61" s="16" t="e">
        <f>E61+F61</f>
        <v>#REF!</v>
      </c>
      <c r="H61" s="10" t="s">
        <v>11</v>
      </c>
    </row>
    <row r="62" spans="1:8" s="1" customFormat="1" ht="17.25">
      <c r="A62" s="2" t="s">
        <v>1</v>
      </c>
      <c r="B62" s="7" t="e">
        <f>通気面接計算シート!#REF!</f>
        <v>#REF!</v>
      </c>
      <c r="C62" s="8"/>
      <c r="D62" s="8"/>
      <c r="E62" s="4" t="e">
        <f>(((B61-50)/2)*D64)/100</f>
        <v>#REF!</v>
      </c>
      <c r="F62" s="4" t="e">
        <f>(B61-50)*E64/100</f>
        <v>#REF!</v>
      </c>
      <c r="G62" s="5" t="e">
        <f>E62+F62</f>
        <v>#REF!</v>
      </c>
      <c r="H62" s="10" t="s">
        <v>11</v>
      </c>
    </row>
    <row r="63" spans="1:8" s="1" customFormat="1" ht="17.25">
      <c r="A63" s="2" t="s">
        <v>6</v>
      </c>
      <c r="B63" s="7" t="e">
        <f>通気面接計算シート!#REF!</f>
        <v>#REF!</v>
      </c>
      <c r="C63" s="15" t="s">
        <v>28</v>
      </c>
      <c r="D63" s="15" t="s">
        <v>27</v>
      </c>
      <c r="E63" s="15" t="s">
        <v>29</v>
      </c>
      <c r="F63" s="9"/>
      <c r="G63" s="9"/>
      <c r="H63" s="10"/>
    </row>
    <row r="64" spans="1:8" s="1" customFormat="1" ht="20.25">
      <c r="A64" s="2" t="s">
        <v>2</v>
      </c>
      <c r="B64" s="12" t="e">
        <f>G62</f>
        <v>#REF!</v>
      </c>
      <c r="C64" s="14" t="e">
        <f>ROUNDDOWN(25/COS(RADIANS(B63)),1)</f>
        <v>#REF!</v>
      </c>
      <c r="D64" s="14" t="e">
        <f>ROUNDDOWN(((B61-50)/2)*TAN(RADIANS(B63)),1)</f>
        <v>#REF!</v>
      </c>
      <c r="E64" s="14" t="e">
        <f>ROUNDDOWN(B62-(25+C64+D64),1)</f>
        <v>#REF!</v>
      </c>
      <c r="G64" s="9"/>
      <c r="H64" s="10" t="s">
        <v>12</v>
      </c>
    </row>
    <row r="65" s="1" customFormat="1" ht="17.25"/>
    <row r="67" ht="9" customHeight="1"/>
    <row r="75" ht="9" customHeight="1"/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PQ-SV042 小屋裏エコルーバー　四角形（固定）</vt:lpstr>
      <vt:lpstr>PQ-SV042 小屋裏排熱エコルーバー　五角形（固定式）</vt:lpstr>
      <vt:lpstr>PQ-SV042 小屋裏エコルーバー　片流れ（固定）</vt:lpstr>
      <vt:lpstr>通気面接計算シート</vt:lpstr>
      <vt:lpstr>製品面積</vt:lpstr>
      <vt:lpstr>'PQ-SV042 小屋裏排熱エコルーバー　五角形（固定式）'!Print_Area</vt:lpstr>
    </vt:vector>
  </TitlesOfParts>
  <Company>設計課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　佐原</dc:creator>
  <cp:lastModifiedBy>ws16</cp:lastModifiedBy>
  <cp:lastPrinted>2018-05-02T06:38:10Z</cp:lastPrinted>
  <dcterms:created xsi:type="dcterms:W3CDTF">2008-10-06T05:18:15Z</dcterms:created>
  <dcterms:modified xsi:type="dcterms:W3CDTF">2022-04-28T09:25:53Z</dcterms:modified>
</cp:coreProperties>
</file>