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eZcy/qFMwvASAqZhd+ynXOved2S9i1n9wSyqGXVaKAT20UqD3G48NLGdO1Ceh6XegwoiQpayoYO323oPh3MXhA==" workbookSaltValue="kOWdL+Xb3psLw3MCUPLGgw==" workbookSpinCount="100000" lockStructure="1"/>
  <bookViews>
    <workbookView xWindow="0" yWindow="0" windowWidth="28800" windowHeight="14010" tabRatio="702"/>
  </bookViews>
  <sheets>
    <sheet name="PQ-SV042 小屋裏排熱エコルーバー　四角形（温度感知式）" sheetId="5" r:id="rId1"/>
    <sheet name="PQ-SV042 小屋裏エコルーバー　五角形（温度感知式）" sheetId="6" state="hidden" r:id="rId2"/>
    <sheet name="PQ-SV042 小屋裏エコルーバー　片流れ（温度感知式）" sheetId="7" state="hidden" r:id="rId3"/>
    <sheet name="通気面接計算シート" sheetId="1" state="hidden" r:id="rId4"/>
    <sheet name="製品面積" sheetId="4" state="hidden" r:id="rId5"/>
  </sheets>
  <definedNames>
    <definedName name="_xlnm.Print_Area" localSheetId="0">'PQ-SV042 小屋裏排熱エコルーバー　四角形（温度感知式）'!$A$1:$H$32</definedName>
  </definedNames>
  <calcPr calcId="162913"/>
</workbook>
</file>

<file path=xl/calcChain.xml><?xml version="1.0" encoding="utf-8"?>
<calcChain xmlns="http://schemas.openxmlformats.org/spreadsheetml/2006/main">
  <c r="C24" i="1" l="1"/>
  <c r="C23" i="1"/>
  <c r="C22" i="1"/>
  <c r="C15" i="1"/>
  <c r="C14" i="1"/>
  <c r="C13" i="1"/>
  <c r="C6" i="1"/>
  <c r="C5" i="1"/>
  <c r="F32" i="7" l="1"/>
  <c r="F32" i="6"/>
  <c r="F28" i="5" l="1"/>
  <c r="D13" i="1" l="1"/>
  <c r="H13" i="1" s="1"/>
  <c r="E13" i="1" s="1"/>
  <c r="D15" i="1"/>
  <c r="F15" i="1" s="1"/>
  <c r="G16" i="1" s="1"/>
  <c r="B63" i="4"/>
  <c r="B61" i="4"/>
  <c r="B62" i="4"/>
  <c r="D24" i="1"/>
  <c r="F24" i="1" s="1"/>
  <c r="G25" i="1" s="1"/>
  <c r="D22" i="1"/>
  <c r="G22" i="1" s="1"/>
  <c r="D5" i="1"/>
  <c r="F5" i="1" s="1"/>
  <c r="E5" i="1"/>
  <c r="G5" i="1" s="1"/>
  <c r="G7" i="1"/>
  <c r="B56" i="4"/>
  <c r="C57" i="4" s="1"/>
  <c r="B54" i="4"/>
  <c r="B55" i="4"/>
  <c r="B46" i="4"/>
  <c r="B47" i="4"/>
  <c r="B33" i="4"/>
  <c r="C34" i="4" s="1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B5" i="4"/>
  <c r="C5" i="4" s="1"/>
  <c r="B4" i="4"/>
  <c r="C4" i="4" s="1"/>
  <c r="B25" i="4"/>
  <c r="C26" i="4" s="1"/>
  <c r="B23" i="4"/>
  <c r="B24" i="4"/>
  <c r="G13" i="1" l="1"/>
  <c r="J16" i="1" s="1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H22" i="1"/>
  <c r="E22" i="1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G18" i="4"/>
  <c r="B18" i="4" s="1"/>
  <c r="J7" i="1"/>
  <c r="D7" i="1" s="1"/>
  <c r="G6" i="4"/>
  <c r="B6" i="4" s="1"/>
  <c r="D22" i="5" l="1"/>
  <c r="D26" i="5" s="1"/>
  <c r="D25" i="5" s="1"/>
  <c r="E34" i="4"/>
  <c r="F32" i="4" s="1"/>
  <c r="G32" i="4" s="1"/>
  <c r="B34" i="4" s="1"/>
  <c r="E16" i="1"/>
  <c r="D16" i="1" s="1"/>
  <c r="G17" i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J25" i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G8" i="1"/>
  <c r="E37" i="5" l="1"/>
  <c r="G37" i="5"/>
  <c r="C37" i="5"/>
  <c r="H37" i="5"/>
  <c r="F37" i="5"/>
  <c r="D37" i="5"/>
  <c r="D28" i="5"/>
  <c r="D29" i="5"/>
  <c r="D30" i="5" s="1"/>
  <c r="B37" i="5"/>
  <c r="C16" i="1"/>
  <c r="J17" i="1" s="1"/>
  <c r="D17" i="1" s="1"/>
  <c r="D26" i="6"/>
  <c r="G26" i="1"/>
  <c r="E25" i="1"/>
  <c r="D25" i="1" s="1"/>
  <c r="C7" i="1"/>
  <c r="J8" i="1" s="1"/>
  <c r="D8" i="1" s="1"/>
  <c r="C8" i="1" l="1"/>
  <c r="D23" i="5"/>
  <c r="C25" i="1"/>
  <c r="J26" i="1" s="1"/>
  <c r="D26" i="7"/>
  <c r="D30" i="7" s="1"/>
  <c r="D29" i="7" s="1"/>
  <c r="C17" i="1"/>
  <c r="D27" i="6"/>
  <c r="D26" i="1"/>
  <c r="B48" i="4"/>
  <c r="C49" i="4" s="1"/>
  <c r="B42" i="7" l="1"/>
  <c r="C42" i="7"/>
  <c r="D33" i="7"/>
  <c r="D34" i="7" s="1"/>
  <c r="G42" i="7"/>
  <c r="D32" i="7"/>
  <c r="H42" i="7"/>
  <c r="F42" i="7"/>
  <c r="E42" i="7"/>
  <c r="D42" i="7"/>
  <c r="C26" i="1"/>
  <c r="D27" i="7"/>
  <c r="C46" i="4"/>
  <c r="E46" i="4" s="1"/>
  <c r="D49" i="4"/>
  <c r="E47" i="4" s="1"/>
  <c r="D46" i="4" l="1"/>
  <c r="F46" i="4" s="1"/>
  <c r="G46" i="4" s="1"/>
  <c r="E49" i="4"/>
  <c r="F47" i="4" s="1"/>
  <c r="G47" i="4" s="1"/>
  <c r="B49" i="4" s="1"/>
  <c r="D30" i="6"/>
  <c r="D29" i="6" s="1"/>
  <c r="F41" i="6" l="1"/>
  <c r="H41" i="6"/>
  <c r="E41" i="6"/>
  <c r="G41" i="6"/>
  <c r="B41" i="6"/>
  <c r="C41" i="6"/>
  <c r="D41" i="6"/>
  <c r="D32" i="6"/>
  <c r="D33" i="6"/>
  <c r="D34" i="6" s="1"/>
</calcChain>
</file>

<file path=xl/sharedStrings.xml><?xml version="1.0" encoding="utf-8"?>
<sst xmlns="http://schemas.openxmlformats.org/spreadsheetml/2006/main" count="306" uniqueCount="109">
  <si>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</si>
  <si>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</si>
  <si>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</si>
  <si>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</si>
  <si>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</si>
  <si>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</si>
  <si>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</si>
  <si>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</si>
  <si>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</si>
  <si>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</si>
  <si>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</si>
  <si>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</si>
  <si>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</si>
  <si>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</si>
  <si>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</si>
  <si>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</si>
  <si>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</si>
  <si>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</si>
  <si>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</si>
  <si>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</si>
  <si>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</si>
  <si>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</si>
  <si>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</si>
  <si>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</si>
  <si>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</si>
  <si>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</si>
  <si>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</si>
  <si>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</si>
  <si>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°</t>
    <phoneticPr fontId="1"/>
  </si>
  <si>
    <t>Ｚ２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</si>
  <si>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</si>
  <si>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</si>
  <si>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</si>
  <si>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</si>
  <si>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一般面積</t>
    <rPh sb="0" eb="2">
      <t>イッパン</t>
    </rPh>
    <rPh sb="2" eb="4">
      <t>メンセキ</t>
    </rPh>
    <phoneticPr fontId="1"/>
  </si>
  <si>
    <t>ﾀﾞﾝﾊﾟｰ面積</t>
    <rPh sb="6" eb="8">
      <t>メンセキ</t>
    </rPh>
    <phoneticPr fontId="1"/>
  </si>
  <si>
    <t>ＤＷ</t>
    <phoneticPr fontId="1"/>
  </si>
  <si>
    <t>ＤＨ</t>
    <phoneticPr fontId="1"/>
  </si>
  <si>
    <t>Ａ</t>
    <phoneticPr fontId="1"/>
  </si>
  <si>
    <t>Ｃ</t>
    <phoneticPr fontId="1"/>
  </si>
  <si>
    <t>Ｄ</t>
    <phoneticPr fontId="1"/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</si>
  <si>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</si>
  <si>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</si>
  <si>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</si>
  <si>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</si>
  <si>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四角形（温度感知式）</t>
    <rPh sb="0" eb="2">
      <t>シカク</t>
    </rPh>
    <rPh sb="2" eb="3">
      <t>ケイ</t>
    </rPh>
    <rPh sb="4" eb="6">
      <t>オンド</t>
    </rPh>
    <rPh sb="6" eb="8">
      <t>カンチ</t>
    </rPh>
    <rPh sb="8" eb="9">
      <t>シキ</t>
    </rPh>
    <phoneticPr fontId="1"/>
  </si>
  <si>
    <t>片流れ（温度感知式）</t>
    <rPh sb="4" eb="6">
      <t>オンド</t>
    </rPh>
    <rPh sb="6" eb="8">
      <t>カンチ</t>
    </rPh>
    <rPh sb="8" eb="9">
      <t>シキ</t>
    </rPh>
    <phoneticPr fontId="1"/>
  </si>
  <si>
    <t>五角形（温度感知式）</t>
    <rPh sb="0" eb="3">
      <t>ゴカッケイ</t>
    </rPh>
    <rPh sb="4" eb="6">
      <t>オンド</t>
    </rPh>
    <rPh sb="6" eb="8">
      <t>カンチ</t>
    </rPh>
    <rPh sb="8" eb="9">
      <t>シキ</t>
    </rPh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</si>
  <si>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</si>
  <si>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r>
      <t>※開口率(％)は、通気面積(cm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）÷取付開口面積(cm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）×１００％で計算されています。</t>
    </r>
    <rPh sb="9" eb="11">
      <t>ツウキ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</si>
  <si>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</si>
  <si>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</si>
  <si>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</si>
  <si>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</si>
  <si>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</si>
  <si>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</si>
  <si>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</si>
  <si>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</si>
  <si>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</si>
  <si>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</si>
  <si>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</si>
  <si>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</si>
  <si>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</si>
  <si>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</si>
  <si>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</si>
  <si>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</si>
  <si>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</si>
  <si>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</si>
  <si>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</si>
  <si>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</si>
  <si>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</si>
  <si>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</si>
  <si>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</si>
  <si>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</si>
  <si>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</si>
  <si>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</si>
  <si>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</si>
  <si>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</si>
  <si>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</si>
  <si>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</si>
  <si>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</si>
  <si>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</si>
  <si>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</si>
  <si>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</si>
  <si>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</si>
  <si>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</si>
  <si>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</si>
  <si>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</si>
  <si>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</si>
  <si>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</si>
  <si>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五角形（温度感知式）</t>
    <rPh sb="0" eb="3">
      <t>コヤウラ</t>
    </rPh>
    <rPh sb="10" eb="11">
      <t>ゴ</t>
    </rPh>
    <rPh sb="11" eb="13">
      <t>カッケイ</t>
    </rPh>
    <rPh sb="12" eb="13">
      <t>ケイ</t>
    </rPh>
    <rPh sb="14" eb="16">
      <t>オンド</t>
    </rPh>
    <rPh sb="16" eb="18">
      <t>カンチ</t>
    </rPh>
    <rPh sb="18" eb="19">
      <t>シキ</t>
    </rPh>
    <phoneticPr fontId="1"/>
  </si>
  <si>
    <t>小屋裏エコルーバー　片流れ（温度感知式）</t>
    <rPh sb="0" eb="3">
      <t>コヤウラ</t>
    </rPh>
    <rPh sb="10" eb="12">
      <t>カタナガ</t>
    </rPh>
    <rPh sb="14" eb="16">
      <t>オンド</t>
    </rPh>
    <rPh sb="16" eb="18">
      <t>カンチ</t>
    </rPh>
    <rPh sb="18" eb="19">
      <t>シキ</t>
    </rPh>
    <phoneticPr fontId="1"/>
  </si>
  <si>
    <t>圧力差 ⊿P  (Ｐａ)</t>
    <rPh sb="0" eb="2">
      <t>アツリョク</t>
    </rPh>
    <rPh sb="2" eb="3">
      <t>サ</t>
    </rPh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</si>
  <si>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</si>
  <si>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自然換気シリーズ</t>
    <phoneticPr fontId="1"/>
  </si>
  <si>
    <t>小屋裏排熱エコルーバー　四角形（温度感知式）</t>
    <rPh sb="0" eb="3">
      <t>コヤウラ</t>
    </rPh>
    <rPh sb="3" eb="5">
      <t>ハイネツ</t>
    </rPh>
    <rPh sb="12" eb="14">
      <t>シカク</t>
    </rPh>
    <rPh sb="14" eb="15">
      <t>ケイ</t>
    </rPh>
    <rPh sb="16" eb="18">
      <t>オンド</t>
    </rPh>
    <rPh sb="18" eb="20">
      <t>カンチ</t>
    </rPh>
    <rPh sb="20" eb="21">
      <t>シキ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</si>
  <si>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</si>
  <si>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</si>
  <si>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</si>
  <si>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</si>
  <si>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</si>
  <si>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</si>
  <si>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Ａ＝</t>
    <phoneticPr fontId="1"/>
  </si>
  <si>
    <t>×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</si>
  <si>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</si>
  <si>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％</t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</si>
  <si>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</si>
  <si>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PQ-SV042 K5568-温度感知式</t>
    <rPh sb="15" eb="17">
      <t>オンド</t>
    </rPh>
    <rPh sb="17" eb="20">
      <t>カンチシキ</t>
    </rPh>
    <phoneticPr fontId="1"/>
  </si>
  <si>
    <t>商品寸法</t>
    <rPh sb="0" eb="2">
      <t>ショウヒン</t>
    </rPh>
    <rPh sb="2" eb="4">
      <t>スンポウ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</si>
</sst>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0_ "/>
    <numFmt numFmtId="178" formatCode="0.0"/>
    <numFmt numFmtId="179" formatCode="#,##0.0;[Red]\-#,##0.0"/>
    <numFmt numFmtId="180" formatCode="0.000"/>
    <numFmt numFmtId="181" formatCode="#,###&quot;度&quot;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12"/>
      </left>
      <right style="medium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thick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ck">
        <color indexed="12"/>
      </bottom>
      <diagonal/>
    </border>
    <border>
      <left style="hair">
        <color indexed="12"/>
      </left>
      <right style="medium">
        <color indexed="12"/>
      </right>
      <top/>
      <bottom style="medium">
        <color indexed="12"/>
      </bottom>
      <diagonal/>
    </border>
    <border>
      <left style="medium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thin">
        <color indexed="64"/>
      </right>
      <top style="thick">
        <color indexed="12"/>
      </top>
      <bottom style="medium">
        <color indexed="64"/>
      </bottom>
      <diagonal/>
    </border>
    <border>
      <left style="thin">
        <color indexed="64"/>
      </left>
      <right/>
      <top style="thick">
        <color indexed="12"/>
      </top>
      <bottom style="medium">
        <color indexed="64"/>
      </bottom>
      <diagonal/>
    </border>
    <border>
      <left/>
      <right style="medium">
        <color indexed="64"/>
      </right>
      <top style="thick">
        <color indexed="1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10" xfId="0" applyFont="1" applyBorder="1">
      <alignment vertical="center"/>
    </xf>
    <xf numFmtId="0" fontId="0" fillId="0" borderId="13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5" xfId="0" applyFont="1" applyBorder="1">
      <alignment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2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>
      <alignment vertical="center"/>
    </xf>
    <xf numFmtId="0" fontId="0" fillId="0" borderId="16" xfId="0" applyFont="1" applyBorder="1" applyAlignment="1">
      <alignment horizontal="right" vertical="center"/>
    </xf>
    <xf numFmtId="176" fontId="10" fillId="0" borderId="12" xfId="0" applyNumberFormat="1" applyFont="1" applyBorder="1">
      <alignment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176" fontId="0" fillId="0" borderId="28" xfId="0" applyNumberFormat="1" applyFont="1" applyBorder="1">
      <alignment vertical="center"/>
    </xf>
    <xf numFmtId="0" fontId="0" fillId="0" borderId="21" xfId="0" applyFont="1" applyBorder="1" applyProtection="1">
      <alignment vertical="center"/>
      <protection locked="0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30" xfId="0" applyFont="1" applyBorder="1">
      <alignment vertical="center"/>
    </xf>
    <xf numFmtId="177" fontId="12" fillId="0" borderId="11" xfId="0" applyNumberFormat="1" applyFont="1" applyBorder="1" applyAlignment="1">
      <alignment horizontal="center"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39" xfId="0" applyFont="1" applyFill="1" applyBorder="1" applyAlignment="1" applyProtection="1">
      <alignment horizontal="left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8" fontId="17" fillId="0" borderId="41" xfId="0" applyNumberFormat="1" applyFont="1" applyFill="1" applyBorder="1" applyAlignment="1">
      <alignment horizontal="center" vertical="center"/>
    </xf>
    <xf numFmtId="0" fontId="0" fillId="0" borderId="41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0" fillId="0" borderId="41" xfId="0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7" fillId="0" borderId="45" xfId="0" applyFont="1" applyFill="1" applyBorder="1" applyAlignment="1">
      <alignment horizontal="right" vertical="center"/>
    </xf>
    <xf numFmtId="0" fontId="17" fillId="0" borderId="46" xfId="0" applyFont="1" applyFill="1" applyBorder="1" applyAlignment="1">
      <alignment horizontal="left" vertical="center"/>
    </xf>
    <xf numFmtId="0" fontId="17" fillId="0" borderId="43" xfId="0" applyFont="1" applyFill="1" applyBorder="1" applyAlignment="1">
      <alignment vertical="center"/>
    </xf>
    <xf numFmtId="0" fontId="19" fillId="0" borderId="41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vertical="center"/>
    </xf>
    <xf numFmtId="179" fontId="17" fillId="0" borderId="41" xfId="1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horizontal="center" vertical="center"/>
    </xf>
    <xf numFmtId="178" fontId="17" fillId="0" borderId="42" xfId="0" applyNumberFormat="1" applyFont="1" applyFill="1" applyBorder="1" applyAlignment="1">
      <alignment vertical="center"/>
    </xf>
    <xf numFmtId="0" fontId="17" fillId="0" borderId="41" xfId="0" applyNumberFormat="1" applyFont="1" applyFill="1" applyBorder="1" applyAlignment="1">
      <alignment vertical="center"/>
    </xf>
    <xf numFmtId="180" fontId="17" fillId="0" borderId="42" xfId="0" applyNumberFormat="1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7" fillId="0" borderId="49" xfId="0" applyFont="1" applyFill="1" applyBorder="1" applyAlignment="1">
      <alignment horizontal="right" vertical="center"/>
    </xf>
    <xf numFmtId="178" fontId="17" fillId="0" borderId="48" xfId="0" applyNumberFormat="1" applyFont="1" applyFill="1" applyBorder="1" applyAlignment="1">
      <alignment vertical="center"/>
    </xf>
    <xf numFmtId="0" fontId="17" fillId="0" borderId="48" xfId="0" applyNumberFormat="1" applyFont="1" applyFill="1" applyBorder="1" applyAlignment="1">
      <alignment horizontal="centerContinuous" vertical="center"/>
    </xf>
    <xf numFmtId="0" fontId="20" fillId="0" borderId="48" xfId="0" applyNumberFormat="1" applyFont="1" applyFill="1" applyBorder="1" applyAlignment="1">
      <alignment horizontal="left" vertical="center"/>
    </xf>
    <xf numFmtId="0" fontId="18" fillId="0" borderId="48" xfId="0" applyNumberFormat="1" applyFont="1" applyFill="1" applyBorder="1" applyAlignment="1">
      <alignment horizontal="left" vertical="center"/>
    </xf>
    <xf numFmtId="180" fontId="17" fillId="0" borderId="50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6" xfId="0" applyNumberFormat="1" applyFont="1" applyFill="1" applyBorder="1" applyAlignment="1">
      <alignment horizontal="centerContinuous" vertical="center"/>
    </xf>
    <xf numFmtId="0" fontId="19" fillId="0" borderId="6" xfId="0" applyNumberFormat="1" applyFont="1" applyFill="1" applyBorder="1" applyAlignment="1">
      <alignment horizontal="centerContinuous" vertical="center"/>
    </xf>
    <xf numFmtId="180" fontId="19" fillId="0" borderId="46" xfId="0" applyNumberFormat="1" applyFont="1" applyFill="1" applyBorder="1" applyAlignment="1">
      <alignment vertical="center"/>
    </xf>
    <xf numFmtId="0" fontId="17" fillId="0" borderId="48" xfId="0" applyFont="1" applyFill="1" applyBorder="1" applyAlignment="1">
      <alignment vertical="center"/>
    </xf>
    <xf numFmtId="0" fontId="21" fillId="0" borderId="48" xfId="0" applyNumberFormat="1" applyFont="1" applyFill="1" applyBorder="1" applyAlignment="1">
      <alignment horizontal="centerContinuous" vertical="center"/>
    </xf>
    <xf numFmtId="0" fontId="19" fillId="0" borderId="48" xfId="0" applyNumberFormat="1" applyFont="1" applyFill="1" applyBorder="1" applyAlignment="1">
      <alignment horizontal="centerContinuous" vertical="center"/>
    </xf>
    <xf numFmtId="180" fontId="19" fillId="0" borderId="50" xfId="0" applyNumberFormat="1" applyFont="1" applyFill="1" applyBorder="1" applyAlignment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7" fillId="0" borderId="44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176" fontId="24" fillId="0" borderId="41" xfId="0" applyNumberFormat="1" applyFont="1" applyFill="1" applyBorder="1" applyAlignment="1">
      <alignment vertical="center"/>
    </xf>
    <xf numFmtId="0" fontId="24" fillId="0" borderId="41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0" fontId="19" fillId="0" borderId="0" xfId="0" applyNumberFormat="1" applyFont="1" applyFill="1" applyBorder="1" applyAlignment="1">
      <alignment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178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53" xfId="0" applyFont="1" applyFill="1" applyBorder="1" applyAlignment="1">
      <alignment horizontal="left" vertical="center"/>
    </xf>
    <xf numFmtId="0" fontId="17" fillId="0" borderId="46" xfId="0" applyFont="1" applyFill="1" applyBorder="1" applyAlignment="1">
      <alignment vertical="center"/>
    </xf>
    <xf numFmtId="0" fontId="17" fillId="0" borderId="54" xfId="0" applyFont="1" applyFill="1" applyBorder="1" applyAlignment="1">
      <alignment horizontal="left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right" vertical="center"/>
    </xf>
    <xf numFmtId="0" fontId="24" fillId="0" borderId="57" xfId="0" applyFont="1" applyFill="1" applyBorder="1" applyAlignment="1">
      <alignment horizontal="right" vertical="center"/>
    </xf>
    <xf numFmtId="0" fontId="0" fillId="0" borderId="57" xfId="0" applyFill="1" applyBorder="1" applyAlignment="1">
      <alignment vertical="center"/>
    </xf>
    <xf numFmtId="0" fontId="17" fillId="0" borderId="58" xfId="0" applyFont="1" applyFill="1" applyBorder="1" applyAlignment="1">
      <alignment horizontal="left" vertical="center"/>
    </xf>
    <xf numFmtId="0" fontId="17" fillId="0" borderId="59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17" fillId="0" borderId="60" xfId="0" applyFont="1" applyFill="1" applyBorder="1" applyAlignment="1">
      <alignment horizontal="right" vertical="center"/>
    </xf>
    <xf numFmtId="0" fontId="17" fillId="0" borderId="61" xfId="0" applyFont="1" applyFill="1" applyBorder="1" applyAlignment="1">
      <alignment horizontal="left" vertical="center"/>
    </xf>
    <xf numFmtId="178" fontId="23" fillId="3" borderId="57" xfId="0" applyNumberFormat="1" applyFont="1" applyFill="1" applyBorder="1" applyAlignment="1" applyProtection="1">
      <alignment horizontal="center" vertical="center"/>
      <protection locked="0"/>
    </xf>
    <xf numFmtId="176" fontId="24" fillId="3" borderId="57" xfId="0" applyNumberFormat="1" applyFont="1" applyFill="1" applyBorder="1" applyAlignment="1" applyProtection="1">
      <alignment vertical="center"/>
      <protection locked="0"/>
    </xf>
    <xf numFmtId="181" fontId="23" fillId="3" borderId="41" xfId="1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38" fontId="27" fillId="0" borderId="0" xfId="1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</xf>
    <xf numFmtId="0" fontId="0" fillId="0" borderId="56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178" fontId="24" fillId="3" borderId="5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16" fillId="0" borderId="39" xfId="0" applyFont="1" applyFill="1" applyBorder="1" applyAlignment="1" applyProtection="1">
      <alignment horizontal="left" vertical="center"/>
      <protection hidden="1"/>
    </xf>
    <xf numFmtId="0" fontId="0" fillId="0" borderId="40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8" fontId="17" fillId="0" borderId="41" xfId="0" applyNumberFormat="1" applyFont="1" applyFill="1" applyBorder="1" applyAlignment="1" applyProtection="1">
      <alignment horizontal="center" vertical="center"/>
      <protection hidden="1"/>
    </xf>
    <xf numFmtId="0" fontId="0" fillId="0" borderId="41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0" fontId="0" fillId="0" borderId="51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center" vertical="center"/>
      <protection hidden="1"/>
    </xf>
    <xf numFmtId="0" fontId="17" fillId="0" borderId="52" xfId="0" applyFont="1" applyFill="1" applyBorder="1" applyAlignment="1" applyProtection="1">
      <alignment horizontal="center" vertical="center"/>
      <protection hidden="1"/>
    </xf>
    <xf numFmtId="178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53" xfId="0" applyFont="1" applyFill="1" applyBorder="1" applyAlignment="1" applyProtection="1">
      <alignment horizontal="left" vertical="center"/>
      <protection hidden="1"/>
    </xf>
    <xf numFmtId="0" fontId="0" fillId="0" borderId="54" xfId="0" applyFont="1" applyFill="1" applyBorder="1" applyAlignment="1" applyProtection="1">
      <alignment horizontal="left" vertical="center" indent="1"/>
      <protection hidden="1"/>
    </xf>
    <xf numFmtId="0" fontId="0" fillId="0" borderId="55" xfId="0" applyFont="1" applyFill="1" applyBorder="1" applyAlignment="1" applyProtection="1">
      <alignment horizontal="left" vertical="center" indent="1"/>
      <protection hidden="1"/>
    </xf>
    <xf numFmtId="0" fontId="24" fillId="0" borderId="57" xfId="0" applyFont="1" applyFill="1" applyBorder="1" applyAlignment="1" applyProtection="1">
      <alignment horizontal="right" vertical="center"/>
      <protection hidden="1"/>
    </xf>
    <xf numFmtId="0" fontId="17" fillId="0" borderId="58" xfId="0" applyFont="1" applyFill="1" applyBorder="1" applyAlignment="1" applyProtection="1">
      <alignment horizontal="left" vertical="center"/>
      <protection hidden="1"/>
    </xf>
    <xf numFmtId="178" fontId="0" fillId="0" borderId="41" xfId="0" applyNumberFormat="1" applyFont="1" applyBorder="1" applyAlignment="1" applyProtection="1">
      <alignment horizontal="right" vertical="center"/>
      <protection hidden="1"/>
    </xf>
    <xf numFmtId="178" fontId="0" fillId="0" borderId="41" xfId="0" applyNumberFormat="1" applyFont="1" applyBorder="1" applyAlignment="1" applyProtection="1">
      <alignment horizontal="left" vertical="center"/>
      <protection hidden="1"/>
    </xf>
    <xf numFmtId="0" fontId="0" fillId="0" borderId="42" xfId="0" applyFont="1" applyFill="1" applyBorder="1" applyAlignment="1" applyProtection="1">
      <alignment horizontal="left" vertical="center"/>
      <protection hidden="1"/>
    </xf>
    <xf numFmtId="0" fontId="17" fillId="0" borderId="2" xfId="0" applyFont="1" applyFill="1" applyBorder="1" applyAlignment="1" applyProtection="1">
      <alignment horizontal="right" vertical="center"/>
      <protection hidden="1"/>
    </xf>
    <xf numFmtId="0" fontId="0" fillId="0" borderId="42" xfId="0" applyFont="1" applyFill="1" applyBorder="1" applyAlignment="1" applyProtection="1">
      <alignment vertical="center"/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1" xfId="0" applyFont="1" applyFill="1" applyBorder="1" applyAlignment="1" applyProtection="1">
      <alignment horizontal="left" vertical="center" indent="1"/>
      <protection hidden="1"/>
    </xf>
    <xf numFmtId="0" fontId="0" fillId="0" borderId="41" xfId="0" applyNumberFormat="1" applyFont="1" applyFill="1" applyBorder="1" applyAlignment="1" applyProtection="1">
      <alignment horizontal="right" vertical="center"/>
      <protection hidden="1"/>
    </xf>
    <xf numFmtId="0" fontId="0" fillId="0" borderId="41" xfId="0" applyNumberFormat="1" applyFont="1" applyFill="1" applyBorder="1" applyAlignment="1" applyProtection="1">
      <alignment horizontal="center" vertical="center"/>
      <protection hidden="1"/>
    </xf>
    <xf numFmtId="0" fontId="17" fillId="0" borderId="46" xfId="0" applyFont="1" applyFill="1" applyBorder="1" applyAlignment="1" applyProtection="1">
      <alignment vertical="center"/>
      <protection hidden="1"/>
    </xf>
    <xf numFmtId="179" fontId="0" fillId="0" borderId="41" xfId="1" applyNumberFormat="1" applyFont="1" applyFill="1" applyBorder="1" applyAlignment="1" applyProtection="1">
      <alignment horizontal="right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0" fillId="0" borderId="49" xfId="0" applyFont="1" applyFill="1" applyBorder="1" applyAlignment="1" applyProtection="1">
      <alignment horizontal="right" vertical="center"/>
      <protection hidden="1"/>
    </xf>
    <xf numFmtId="179" fontId="0" fillId="0" borderId="48" xfId="1" applyNumberFormat="1" applyFont="1" applyFill="1" applyBorder="1" applyAlignment="1" applyProtection="1">
      <alignment horizontal="right" vertical="center"/>
      <protection hidden="1"/>
    </xf>
    <xf numFmtId="0" fontId="0" fillId="0" borderId="48" xfId="0" applyNumberFormat="1" applyFont="1" applyFill="1" applyBorder="1" applyAlignment="1" applyProtection="1">
      <alignment horizontal="center" vertical="center"/>
      <protection hidden="1"/>
    </xf>
    <xf numFmtId="0" fontId="0" fillId="0" borderId="50" xfId="0" applyFont="1" applyFill="1" applyBorder="1" applyAlignment="1" applyProtection="1">
      <alignment horizontal="left"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9" fillId="0" borderId="6" xfId="0" applyFont="1" applyFill="1" applyBorder="1" applyAlignment="1" applyProtection="1">
      <alignment vertical="center"/>
      <protection hidden="1"/>
    </xf>
    <xf numFmtId="0" fontId="17" fillId="0" borderId="45" xfId="0" applyFont="1" applyFill="1" applyBorder="1" applyAlignment="1" applyProtection="1">
      <alignment horizontal="right" vertical="center"/>
      <protection hidden="1"/>
    </xf>
    <xf numFmtId="0" fontId="17" fillId="0" borderId="6" xfId="0" applyNumberFormat="1" applyFont="1" applyFill="1" applyBorder="1" applyAlignment="1" applyProtection="1">
      <alignment vertical="center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180" fontId="17" fillId="0" borderId="46" xfId="0" applyNumberFormat="1" applyFont="1" applyFill="1" applyBorder="1" applyAlignment="1" applyProtection="1">
      <alignment vertical="center"/>
      <protection hidden="1"/>
    </xf>
    <xf numFmtId="0" fontId="17" fillId="0" borderId="47" xfId="0" applyFont="1" applyFill="1" applyBorder="1" applyAlignment="1" applyProtection="1">
      <alignment vertical="center"/>
      <protection hidden="1"/>
    </xf>
    <xf numFmtId="0" fontId="19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horizontal="right" vertical="center"/>
      <protection hidden="1"/>
    </xf>
    <xf numFmtId="178" fontId="17" fillId="0" borderId="48" xfId="0" applyNumberFormat="1" applyFont="1" applyFill="1" applyBorder="1" applyAlignment="1" applyProtection="1">
      <alignment vertical="center"/>
      <protection hidden="1"/>
    </xf>
    <xf numFmtId="0" fontId="17" fillId="0" borderId="48" xfId="0" applyNumberFormat="1" applyFont="1" applyFill="1" applyBorder="1" applyAlignment="1" applyProtection="1">
      <alignment horizontal="centerContinuous" vertical="center"/>
      <protection hidden="1"/>
    </xf>
    <xf numFmtId="0" fontId="20" fillId="0" borderId="48" xfId="0" applyNumberFormat="1" applyFont="1" applyFill="1" applyBorder="1" applyAlignment="1" applyProtection="1">
      <alignment horizontal="left" vertical="center"/>
      <protection hidden="1"/>
    </xf>
    <xf numFmtId="0" fontId="18" fillId="0" borderId="48" xfId="0" applyNumberFormat="1" applyFont="1" applyFill="1" applyBorder="1" applyAlignment="1" applyProtection="1">
      <alignment horizontal="left" vertical="center"/>
      <protection hidden="1"/>
    </xf>
    <xf numFmtId="180" fontId="17" fillId="0" borderId="50" xfId="0" applyNumberFormat="1" applyFont="1" applyFill="1" applyBorder="1" applyAlignment="1" applyProtection="1">
      <alignment vertical="center"/>
      <protection hidden="1"/>
    </xf>
    <xf numFmtId="0" fontId="17" fillId="0" borderId="6" xfId="0" applyFont="1" applyFill="1" applyBorder="1" applyAlignment="1" applyProtection="1">
      <alignment vertical="center"/>
      <protection hidden="1"/>
    </xf>
    <xf numFmtId="0" fontId="2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6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46" xfId="0" applyNumberFormat="1" applyFont="1" applyFill="1" applyBorder="1" applyAlignment="1" applyProtection="1">
      <alignment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21" fillId="0" borderId="48" xfId="0" applyNumberFormat="1" applyFont="1" applyFill="1" applyBorder="1" applyAlignment="1" applyProtection="1">
      <alignment horizontal="centerContinuous" vertical="center"/>
      <protection hidden="1"/>
    </xf>
    <xf numFmtId="0" fontId="19" fillId="0" borderId="48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50" xfId="0" applyNumberFormat="1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centerContinuous" vertical="center"/>
      <protection hidden="1"/>
    </xf>
    <xf numFmtId="0" fontId="19" fillId="0" borderId="0" xfId="0" applyNumberFormat="1" applyFont="1" applyFill="1" applyBorder="1" applyAlignment="1" applyProtection="1">
      <alignment horizontal="centerContinuous" vertical="center"/>
      <protection hidden="1"/>
    </xf>
    <xf numFmtId="180" fontId="19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38" fontId="26" fillId="0" borderId="0" xfId="1" applyFont="1" applyFill="1" applyBorder="1" applyAlignment="1" applyProtection="1">
      <alignment vertical="center"/>
      <protection hidden="1"/>
    </xf>
    <xf numFmtId="38" fontId="27" fillId="0" borderId="0" xfId="1" applyFont="1" applyFill="1" applyBorder="1" applyAlignment="1" applyProtection="1">
      <alignment vertical="center"/>
      <protection hidden="1"/>
    </xf>
    <xf numFmtId="176" fontId="27" fillId="0" borderId="0" xfId="0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left" vertical="center" indent="1"/>
      <protection hidden="1"/>
    </xf>
    <xf numFmtId="0" fontId="0" fillId="0" borderId="47" xfId="0" applyFont="1" applyFill="1" applyBorder="1" applyAlignment="1" applyProtection="1">
      <alignment horizontal="left" vertical="center" indent="1"/>
      <protection hidden="1"/>
    </xf>
    <xf numFmtId="0" fontId="0" fillId="0" borderId="62" xfId="0" applyBorder="1" applyAlignment="1" applyProtection="1">
      <alignment horizontal="left" vertical="center" inden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178" fontId="14" fillId="0" borderId="41" xfId="0" applyNumberFormat="1" applyFont="1" applyBorder="1" applyAlignment="1">
      <alignment horizontal="left" vertical="center"/>
    </xf>
    <xf numFmtId="178" fontId="14" fillId="0" borderId="48" xfId="0" applyNumberFormat="1" applyFont="1" applyBorder="1" applyAlignment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176" fontId="12" fillId="0" borderId="32" xfId="0" applyNumberFormat="1" applyFont="1" applyBorder="1" applyAlignment="1">
      <alignment horizontal="center" vertical="center"/>
    </xf>
    <xf numFmtId="176" fontId="12" fillId="0" borderId="33" xfId="0" applyNumberFormat="1" applyFont="1" applyBorder="1" applyAlignment="1">
      <alignment horizontal="center" vertical="center"/>
    </xf>
    <xf numFmtId="176" fontId="12" fillId="0" borderId="34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8669788772551E-2"/>
          <c:y val="5.1677313920665574E-2"/>
          <c:w val="0.89936126243079395"/>
          <c:h val="0.8486716518925699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小屋裏排熱エコルーバー　四角形（温度感知式）'!$B$37:$H$37</c:f>
              <c:numCache>
                <c:formatCode>0.0_ </c:formatCode>
                <c:ptCount val="7"/>
                <c:pt idx="0">
                  <c:v>0</c:v>
                </c:pt>
                <c:pt idx="1">
                  <c:v>295.53464798182762</c:v>
                </c:pt>
                <c:pt idx="2">
                  <c:v>427.29788409457507</c:v>
                </c:pt>
                <c:pt idx="3">
                  <c:v>530.14699687186874</c:v>
                </c:pt>
                <c:pt idx="4">
                  <c:v>617.80736370013688</c:v>
                </c:pt>
                <c:pt idx="5">
                  <c:v>695.66629072344028</c:v>
                </c:pt>
                <c:pt idx="6">
                  <c:v>766.5114448319174</c:v>
                </c:pt>
              </c:numCache>
            </c:numRef>
          </c:xVal>
          <c:yVal>
            <c:numRef>
              <c:f>'PQ-SV042 小屋裏排熱エコルーバー　四角形（温度感知式）'!$B$36:$H$36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95-4CB5-839B-9B019457E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721688"/>
        <c:axId val="435599240"/>
      </c:scatterChart>
      <c:valAx>
        <c:axId val="43572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5599240"/>
        <c:crosses val="autoZero"/>
        <c:crossBetween val="midCat"/>
      </c:valAx>
      <c:valAx>
        <c:axId val="43559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5721688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870516185476821E-2"/>
          <c:y val="3.3912219305920095E-2"/>
          <c:w val="0.89411058777470165"/>
          <c:h val="0.8545434093465589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五角形（温度感知式）'!$B$41:$H$41</c:f>
              <c:numCache>
                <c:formatCode>0.0_ </c:formatCode>
                <c:ptCount val="7"/>
                <c:pt idx="0">
                  <c:v>0</c:v>
                </c:pt>
                <c:pt idx="1">
                  <c:v>232.20579484286455</c:v>
                </c:pt>
                <c:pt idx="2">
                  <c:v>335.73405178859468</c:v>
                </c:pt>
                <c:pt idx="3">
                  <c:v>416.54406897075398</c:v>
                </c:pt>
                <c:pt idx="4">
                  <c:v>485.42007147867895</c:v>
                </c:pt>
                <c:pt idx="5">
                  <c:v>546.59494271127448</c:v>
                </c:pt>
                <c:pt idx="6">
                  <c:v>602.25899236793509</c:v>
                </c:pt>
              </c:numCache>
            </c:numRef>
          </c:xVal>
          <c:yVal>
            <c:numRef>
              <c:f>'PQ-SV042 小屋裏エコルーバー　五角形（温度感知式）'!$B$40:$H$40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CF-4081-9619-78ED51FC9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87168"/>
        <c:axId val="435683024"/>
      </c:scatterChart>
      <c:valAx>
        <c:axId val="43498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683024"/>
        <c:crosses val="autoZero"/>
        <c:crossBetween val="midCat"/>
      </c:valAx>
      <c:valAx>
        <c:axId val="43568302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8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片流れ（温度感知式）'!$B$42:$H$42</c:f>
              <c:numCache>
                <c:formatCode>0.0_ </c:formatCode>
                <c:ptCount val="7"/>
                <c:pt idx="0">
                  <c:v>0</c:v>
                </c:pt>
                <c:pt idx="1">
                  <c:v>168.87694170390151</c:v>
                </c:pt>
                <c:pt idx="2">
                  <c:v>244.17021948261433</c:v>
                </c:pt>
                <c:pt idx="3">
                  <c:v>302.94114106963929</c:v>
                </c:pt>
                <c:pt idx="4">
                  <c:v>353.03277925722114</c:v>
                </c:pt>
                <c:pt idx="5">
                  <c:v>397.52359469910874</c:v>
                </c:pt>
                <c:pt idx="6">
                  <c:v>438.00653990395284</c:v>
                </c:pt>
              </c:numCache>
            </c:numRef>
          </c:xVal>
          <c:yVal>
            <c:numRef>
              <c:f>'PQ-SV042 小屋裏エコルーバー　片流れ（温度感知式）'!$B$41:$H$41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C4-46EA-BF0C-40D43BB6A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87400"/>
        <c:axId val="435993784"/>
      </c:scatterChart>
      <c:valAx>
        <c:axId val="43528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993784"/>
        <c:crosses val="autoZero"/>
        <c:crossBetween val="midCat"/>
      </c:valAx>
      <c:valAx>
        <c:axId val="43599378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87400"/>
        <c:crosses val="autoZero"/>
        <c:crossBetween val="midCat"/>
      </c:valAx>
      <c:spPr>
        <a:noFill/>
        <a:ln>
          <a:solidFill>
            <a:schemeClr val="tx1">
              <a:lumMod val="95000"/>
              <a:lumOff val="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15</xdr:row>
      <xdr:rowOff>209550</xdr:rowOff>
    </xdr:from>
    <xdr:to>
      <xdr:col>7</xdr:col>
      <xdr:colOff>514351</xdr:colOff>
      <xdr:row>15</xdr:row>
      <xdr:rowOff>3238500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400050</xdr:colOff>
      <xdr:row>15</xdr:row>
      <xdr:rowOff>3162300</xdr:rowOff>
    </xdr:from>
    <xdr:ext cx="1463414" cy="325730"/>
    <xdr:sp macro="" textlink="">
      <xdr:nvSpPr>
        <xdr:cNvPr id="5" name="テキスト ボックス 4"/>
        <xdr:cNvSpPr txBox="1"/>
      </xdr:nvSpPr>
      <xdr:spPr>
        <a:xfrm>
          <a:off x="2705100" y="8305800"/>
          <a:ext cx="146341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4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13</xdr:col>
      <xdr:colOff>233570</xdr:colOff>
      <xdr:row>15</xdr:row>
      <xdr:rowOff>3209925</xdr:rowOff>
    </xdr:from>
    <xdr:ext cx="385555" cy="92398"/>
    <xdr:sp macro="" textlink="">
      <xdr:nvSpPr>
        <xdr:cNvPr id="6" name="テキスト ボックス 5"/>
        <xdr:cNvSpPr txBox="1"/>
      </xdr:nvSpPr>
      <xdr:spPr>
        <a:xfrm>
          <a:off x="9634745" y="747712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0</xdr:col>
      <xdr:colOff>36692</xdr:colOff>
      <xdr:row>15</xdr:row>
      <xdr:rowOff>945845</xdr:rowOff>
    </xdr:from>
    <xdr:ext cx="325730" cy="1389483"/>
    <xdr:sp macro="" textlink="">
      <xdr:nvSpPr>
        <xdr:cNvPr id="7" name="テキスト ボックス 6"/>
        <xdr:cNvSpPr txBox="1"/>
      </xdr:nvSpPr>
      <xdr:spPr>
        <a:xfrm rot="16200000">
          <a:off x="-495185" y="6621222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321985</xdr:colOff>
      <xdr:row>1</xdr:row>
      <xdr:rowOff>9524</xdr:rowOff>
    </xdr:from>
    <xdr:to>
      <xdr:col>7</xdr:col>
      <xdr:colOff>371476</xdr:colOff>
      <xdr:row>13</xdr:row>
      <xdr:rowOff>269403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1985" y="349383"/>
          <a:ext cx="5335195" cy="4338189"/>
        </a:xfrm>
        <a:prstGeom prst="rect">
          <a:avLst/>
        </a:prstGeom>
      </xdr:spPr>
    </xdr:pic>
    <xdr:clientData/>
  </xdr:twoCellAnchor>
  <xdr:twoCellAnchor>
    <xdr:from>
      <xdr:col>1</xdr:col>
      <xdr:colOff>882650</xdr:colOff>
      <xdr:row>2</xdr:row>
      <xdr:rowOff>317500</xdr:rowOff>
    </xdr:from>
    <xdr:to>
      <xdr:col>3</xdr:col>
      <xdr:colOff>96130</xdr:colOff>
      <xdr:row>3</xdr:row>
      <xdr:rowOff>254000</xdr:rowOff>
    </xdr:to>
    <xdr:sp macro="" textlink="">
      <xdr:nvSpPr>
        <xdr:cNvPr id="8" name="テキスト ボックス 7"/>
        <xdr:cNvSpPr txBox="1"/>
      </xdr:nvSpPr>
      <xdr:spPr>
        <a:xfrm>
          <a:off x="1973777" y="997218"/>
          <a:ext cx="868057" cy="2763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B</a:t>
          </a:r>
          <a:r>
            <a:rPr kumimoji="1" lang="ja-JP" altLang="en-US" sz="1000"/>
            <a:t>－</a:t>
          </a:r>
          <a:r>
            <a:rPr kumimoji="1" lang="en-US" altLang="ja-JP" sz="1000"/>
            <a:t>B</a:t>
          </a:r>
          <a:r>
            <a:rPr kumimoji="1" lang="ja-JP" altLang="en-US" sz="1000"/>
            <a:t>断面図</a:t>
          </a:r>
        </a:p>
      </xdr:txBody>
    </xdr:sp>
    <xdr:clientData/>
  </xdr:twoCellAnchor>
  <xdr:twoCellAnchor>
    <xdr:from>
      <xdr:col>0</xdr:col>
      <xdr:colOff>311150</xdr:colOff>
      <xdr:row>11</xdr:row>
      <xdr:rowOff>234950</xdr:rowOff>
    </xdr:from>
    <xdr:to>
      <xdr:col>1</xdr:col>
      <xdr:colOff>89780</xdr:colOff>
      <xdr:row>12</xdr:row>
      <xdr:rowOff>171450</xdr:rowOff>
    </xdr:to>
    <xdr:sp macro="" textlink="">
      <xdr:nvSpPr>
        <xdr:cNvPr id="9" name="テキスト ボックス 8"/>
        <xdr:cNvSpPr txBox="1"/>
      </xdr:nvSpPr>
      <xdr:spPr>
        <a:xfrm>
          <a:off x="311150" y="3973401"/>
          <a:ext cx="869757" cy="2763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A</a:t>
          </a:r>
          <a:r>
            <a:rPr kumimoji="1" lang="ja-JP" altLang="en-US" sz="1000"/>
            <a:t>－</a:t>
          </a:r>
          <a:r>
            <a:rPr kumimoji="1" lang="en-US" altLang="ja-JP" sz="1000"/>
            <a:t>A</a:t>
          </a:r>
          <a:r>
            <a:rPr kumimoji="1" lang="ja-JP" altLang="en-US" sz="1000"/>
            <a:t>断面図</a:t>
          </a:r>
        </a:p>
      </xdr:txBody>
    </xdr:sp>
    <xdr:clientData/>
  </xdr:twoCellAnchor>
  <xdr:twoCellAnchor>
    <xdr:from>
      <xdr:col>1</xdr:col>
      <xdr:colOff>471103</xdr:colOff>
      <xdr:row>12</xdr:row>
      <xdr:rowOff>213742</xdr:rowOff>
    </xdr:from>
    <xdr:to>
      <xdr:col>2</xdr:col>
      <xdr:colOff>278209</xdr:colOff>
      <xdr:row>13</xdr:row>
      <xdr:rowOff>22148</xdr:rowOff>
    </xdr:to>
    <xdr:sp macro="" textlink="">
      <xdr:nvSpPr>
        <xdr:cNvPr id="10" name="テキスト ボックス 9"/>
        <xdr:cNvSpPr txBox="1"/>
      </xdr:nvSpPr>
      <xdr:spPr>
        <a:xfrm>
          <a:off x="1562230" y="4292052"/>
          <a:ext cx="826683" cy="1482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ja-JP" altLang="en-US" sz="1000"/>
            <a:t>商品Ｗ寸法</a:t>
          </a:r>
        </a:p>
      </xdr:txBody>
    </xdr:sp>
    <xdr:clientData/>
  </xdr:twoCellAnchor>
  <xdr:twoCellAnchor>
    <xdr:from>
      <xdr:col>3</xdr:col>
      <xdr:colOff>95250</xdr:colOff>
      <xdr:row>6</xdr:row>
      <xdr:rowOff>292100</xdr:rowOff>
    </xdr:from>
    <xdr:to>
      <xdr:col>3</xdr:col>
      <xdr:colOff>349858</xdr:colOff>
      <xdr:row>9</xdr:row>
      <xdr:rowOff>166980</xdr:rowOff>
    </xdr:to>
    <xdr:sp macro="" textlink="">
      <xdr:nvSpPr>
        <xdr:cNvPr id="11" name="テキスト ボックス 10"/>
        <xdr:cNvSpPr txBox="1"/>
      </xdr:nvSpPr>
      <xdr:spPr>
        <a:xfrm>
          <a:off x="2840954" y="2331255"/>
          <a:ext cx="254608" cy="8944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pPr algn="ctr"/>
          <a:r>
            <a:rPr kumimoji="1" lang="ja-JP" altLang="en-US" sz="1000"/>
            <a:t>商品Ｈ寸法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945541</xdr:colOff>
      <xdr:row>1</xdr:row>
      <xdr:rowOff>133349</xdr:rowOff>
    </xdr:from>
    <xdr:to>
      <xdr:col>6</xdr:col>
      <xdr:colOff>581025</xdr:colOff>
      <xdr:row>16</xdr:row>
      <xdr:rowOff>174240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5541" y="361949"/>
          <a:ext cx="5026634" cy="3603241"/>
        </a:xfrm>
        <a:prstGeom prst="rect">
          <a:avLst/>
        </a:prstGeom>
      </xdr:spPr>
    </xdr:pic>
    <xdr:clientData/>
  </xdr:twoCellAnchor>
  <xdr:twoCellAnchor>
    <xdr:from>
      <xdr:col>0</xdr:col>
      <xdr:colOff>381000</xdr:colOff>
      <xdr:row>18</xdr:row>
      <xdr:rowOff>219075</xdr:rowOff>
    </xdr:from>
    <xdr:to>
      <xdr:col>7</xdr:col>
      <xdr:colOff>590550</xdr:colOff>
      <xdr:row>18</xdr:row>
      <xdr:rowOff>3152775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8552</xdr:colOff>
      <xdr:row>18</xdr:row>
      <xdr:rowOff>3143000</xdr:rowOff>
    </xdr:from>
    <xdr:ext cx="1646156" cy="359073"/>
    <xdr:sp macro="" textlink="">
      <xdr:nvSpPr>
        <xdr:cNvPr id="6" name="テキスト ボックス 5"/>
        <xdr:cNvSpPr txBox="1"/>
      </xdr:nvSpPr>
      <xdr:spPr>
        <a:xfrm>
          <a:off x="2770802" y="7581650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819150</xdr:rowOff>
    </xdr:from>
    <xdr:ext cx="359073" cy="1832874"/>
    <xdr:sp macro="" textlink="">
      <xdr:nvSpPr>
        <xdr:cNvPr id="7" name="テキスト ボックス 6"/>
        <xdr:cNvSpPr txBox="1"/>
      </xdr:nvSpPr>
      <xdr:spPr>
        <a:xfrm rot="16200000">
          <a:off x="-736900" y="5994700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1028700</xdr:colOff>
      <xdr:row>2</xdr:row>
      <xdr:rowOff>5384</xdr:rowOff>
    </xdr:from>
    <xdr:to>
      <xdr:col>6</xdr:col>
      <xdr:colOff>598733</xdr:colOff>
      <xdr:row>16</xdr:row>
      <xdr:rowOff>65742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" y="405434"/>
          <a:ext cx="4961183" cy="3451258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18</xdr:row>
      <xdr:rowOff>180975</xdr:rowOff>
    </xdr:from>
    <xdr:to>
      <xdr:col>7</xdr:col>
      <xdr:colOff>628650</xdr:colOff>
      <xdr:row>18</xdr:row>
      <xdr:rowOff>3162300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8549</xdr:colOff>
      <xdr:row>18</xdr:row>
      <xdr:rowOff>3162049</xdr:rowOff>
    </xdr:from>
    <xdr:ext cx="1646156" cy="359073"/>
    <xdr:sp macro="" textlink="">
      <xdr:nvSpPr>
        <xdr:cNvPr id="4" name="テキスト ボックス 3"/>
        <xdr:cNvSpPr txBox="1"/>
      </xdr:nvSpPr>
      <xdr:spPr>
        <a:xfrm>
          <a:off x="2770799" y="7600699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838199</xdr:rowOff>
    </xdr:from>
    <xdr:ext cx="359073" cy="1832874"/>
    <xdr:sp macro="" textlink="">
      <xdr:nvSpPr>
        <xdr:cNvPr id="5" name="テキスト ボックス 4"/>
        <xdr:cNvSpPr txBox="1"/>
      </xdr:nvSpPr>
      <xdr:spPr>
        <a:xfrm rot="16200000">
          <a:off x="-736900" y="6013749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109" name="Line 6"/>
        <xdr:cNvSpPr>
          <a:spLocks noChangeShapeType="1"/>
        </xdr:cNvSpPr>
      </xdr:nvSpPr>
      <xdr:spPr bwMode="auto">
        <a:xfrm flipH="1">
          <a:off x="4171950" y="542925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1" name="Line 35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4" name="Line 38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1125" name="Line 43"/>
        <xdr:cNvSpPr>
          <a:spLocks noChangeShapeType="1"/>
        </xdr:cNvSpPr>
      </xdr:nvSpPr>
      <xdr:spPr bwMode="auto">
        <a:xfrm flipH="1">
          <a:off x="4171950" y="133064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showRowColHeaders="0" tabSelected="1" zoomScale="71" zoomScaleNormal="71" workbookViewId="0">
      <selection activeCell="G21" sqref="G21"/>
    </sheetView>
  </sheetViews>
  <sheetFormatPr defaultRowHeight="13.5"/>
  <cols>
    <col min="1" max="1" width="15.625" style="146" customWidth="1"/>
    <col min="2" max="2" width="14.625" style="146" customWidth="1"/>
    <col min="3" max="8" width="9.125" style="146" customWidth="1"/>
    <col min="9" max="10" width="9" style="146"/>
    <col min="11" max="11" width="5.125" style="146" bestFit="1" customWidth="1"/>
    <col min="12" max="15" width="6.125" style="146" bestFit="1" customWidth="1"/>
    <col min="16" max="256" width="9" style="146"/>
    <col min="257" max="258" width="18.125" style="146" customWidth="1"/>
    <col min="259" max="264" width="8.625" style="146" customWidth="1"/>
    <col min="265" max="266" width="9" style="146"/>
    <col min="267" max="267" width="5.125" style="146" bestFit="1" customWidth="1"/>
    <col min="268" max="271" width="6.125" style="146" bestFit="1" customWidth="1"/>
    <col min="272" max="512" width="9" style="146"/>
    <col min="513" max="514" width="18.125" style="146" customWidth="1"/>
    <col min="515" max="520" width="8.625" style="146" customWidth="1"/>
    <col min="521" max="522" width="9" style="146"/>
    <col min="523" max="523" width="5.125" style="146" bestFit="1" customWidth="1"/>
    <col min="524" max="527" width="6.125" style="146" bestFit="1" customWidth="1"/>
    <col min="528" max="768" width="9" style="146"/>
    <col min="769" max="770" width="18.125" style="146" customWidth="1"/>
    <col min="771" max="776" width="8.625" style="146" customWidth="1"/>
    <col min="777" max="778" width="9" style="146"/>
    <col min="779" max="779" width="5.125" style="146" bestFit="1" customWidth="1"/>
    <col min="780" max="783" width="6.125" style="146" bestFit="1" customWidth="1"/>
    <col min="784" max="1024" width="9" style="146"/>
    <col min="1025" max="1026" width="18.125" style="146" customWidth="1"/>
    <col min="1027" max="1032" width="8.625" style="146" customWidth="1"/>
    <col min="1033" max="1034" width="9" style="146"/>
    <col min="1035" max="1035" width="5.125" style="146" bestFit="1" customWidth="1"/>
    <col min="1036" max="1039" width="6.125" style="146" bestFit="1" customWidth="1"/>
    <col min="1040" max="1280" width="9" style="146"/>
    <col min="1281" max="1282" width="18.125" style="146" customWidth="1"/>
    <col min="1283" max="1288" width="8.625" style="146" customWidth="1"/>
    <col min="1289" max="1290" width="9" style="146"/>
    <col min="1291" max="1291" width="5.125" style="146" bestFit="1" customWidth="1"/>
    <col min="1292" max="1295" width="6.125" style="146" bestFit="1" customWidth="1"/>
    <col min="1296" max="1536" width="9" style="146"/>
    <col min="1537" max="1538" width="18.125" style="146" customWidth="1"/>
    <col min="1539" max="1544" width="8.625" style="146" customWidth="1"/>
    <col min="1545" max="1546" width="9" style="146"/>
    <col min="1547" max="1547" width="5.125" style="146" bestFit="1" customWidth="1"/>
    <col min="1548" max="1551" width="6.125" style="146" bestFit="1" customWidth="1"/>
    <col min="1552" max="1792" width="9" style="146"/>
    <col min="1793" max="1794" width="18.125" style="146" customWidth="1"/>
    <col min="1795" max="1800" width="8.625" style="146" customWidth="1"/>
    <col min="1801" max="1802" width="9" style="146"/>
    <col min="1803" max="1803" width="5.125" style="146" bestFit="1" customWidth="1"/>
    <col min="1804" max="1807" width="6.125" style="146" bestFit="1" customWidth="1"/>
    <col min="1808" max="2048" width="9" style="146"/>
    <col min="2049" max="2050" width="18.125" style="146" customWidth="1"/>
    <col min="2051" max="2056" width="8.625" style="146" customWidth="1"/>
    <col min="2057" max="2058" width="9" style="146"/>
    <col min="2059" max="2059" width="5.125" style="146" bestFit="1" customWidth="1"/>
    <col min="2060" max="2063" width="6.125" style="146" bestFit="1" customWidth="1"/>
    <col min="2064" max="2304" width="9" style="146"/>
    <col min="2305" max="2306" width="18.125" style="146" customWidth="1"/>
    <col min="2307" max="2312" width="8.625" style="146" customWidth="1"/>
    <col min="2313" max="2314" width="9" style="146"/>
    <col min="2315" max="2315" width="5.125" style="146" bestFit="1" customWidth="1"/>
    <col min="2316" max="2319" width="6.125" style="146" bestFit="1" customWidth="1"/>
    <col min="2320" max="2560" width="9" style="146"/>
    <col min="2561" max="2562" width="18.125" style="146" customWidth="1"/>
    <col min="2563" max="2568" width="8.625" style="146" customWidth="1"/>
    <col min="2569" max="2570" width="9" style="146"/>
    <col min="2571" max="2571" width="5.125" style="146" bestFit="1" customWidth="1"/>
    <col min="2572" max="2575" width="6.125" style="146" bestFit="1" customWidth="1"/>
    <col min="2576" max="2816" width="9" style="146"/>
    <col min="2817" max="2818" width="18.125" style="146" customWidth="1"/>
    <col min="2819" max="2824" width="8.625" style="146" customWidth="1"/>
    <col min="2825" max="2826" width="9" style="146"/>
    <col min="2827" max="2827" width="5.125" style="146" bestFit="1" customWidth="1"/>
    <col min="2828" max="2831" width="6.125" style="146" bestFit="1" customWidth="1"/>
    <col min="2832" max="3072" width="9" style="146"/>
    <col min="3073" max="3074" width="18.125" style="146" customWidth="1"/>
    <col min="3075" max="3080" width="8.625" style="146" customWidth="1"/>
    <col min="3081" max="3082" width="9" style="146"/>
    <col min="3083" max="3083" width="5.125" style="146" bestFit="1" customWidth="1"/>
    <col min="3084" max="3087" width="6.125" style="146" bestFit="1" customWidth="1"/>
    <col min="3088" max="3328" width="9" style="146"/>
    <col min="3329" max="3330" width="18.125" style="146" customWidth="1"/>
    <col min="3331" max="3336" width="8.625" style="146" customWidth="1"/>
    <col min="3337" max="3338" width="9" style="146"/>
    <col min="3339" max="3339" width="5.125" style="146" bestFit="1" customWidth="1"/>
    <col min="3340" max="3343" width="6.125" style="146" bestFit="1" customWidth="1"/>
    <col min="3344" max="3584" width="9" style="146"/>
    <col min="3585" max="3586" width="18.125" style="146" customWidth="1"/>
    <col min="3587" max="3592" width="8.625" style="146" customWidth="1"/>
    <col min="3593" max="3594" width="9" style="146"/>
    <col min="3595" max="3595" width="5.125" style="146" bestFit="1" customWidth="1"/>
    <col min="3596" max="3599" width="6.125" style="146" bestFit="1" customWidth="1"/>
    <col min="3600" max="3840" width="9" style="146"/>
    <col min="3841" max="3842" width="18.125" style="146" customWidth="1"/>
    <col min="3843" max="3848" width="8.625" style="146" customWidth="1"/>
    <col min="3849" max="3850" width="9" style="146"/>
    <col min="3851" max="3851" width="5.125" style="146" bestFit="1" customWidth="1"/>
    <col min="3852" max="3855" width="6.125" style="146" bestFit="1" customWidth="1"/>
    <col min="3856" max="4096" width="9" style="146"/>
    <col min="4097" max="4098" width="18.125" style="146" customWidth="1"/>
    <col min="4099" max="4104" width="8.625" style="146" customWidth="1"/>
    <col min="4105" max="4106" width="9" style="146"/>
    <col min="4107" max="4107" width="5.125" style="146" bestFit="1" customWidth="1"/>
    <col min="4108" max="4111" width="6.125" style="146" bestFit="1" customWidth="1"/>
    <col min="4112" max="4352" width="9" style="146"/>
    <col min="4353" max="4354" width="18.125" style="146" customWidth="1"/>
    <col min="4355" max="4360" width="8.625" style="146" customWidth="1"/>
    <col min="4361" max="4362" width="9" style="146"/>
    <col min="4363" max="4363" width="5.125" style="146" bestFit="1" customWidth="1"/>
    <col min="4364" max="4367" width="6.125" style="146" bestFit="1" customWidth="1"/>
    <col min="4368" max="4608" width="9" style="146"/>
    <col min="4609" max="4610" width="18.125" style="146" customWidth="1"/>
    <col min="4611" max="4616" width="8.625" style="146" customWidth="1"/>
    <col min="4617" max="4618" width="9" style="146"/>
    <col min="4619" max="4619" width="5.125" style="146" bestFit="1" customWidth="1"/>
    <col min="4620" max="4623" width="6.125" style="146" bestFit="1" customWidth="1"/>
    <col min="4624" max="4864" width="9" style="146"/>
    <col min="4865" max="4866" width="18.125" style="146" customWidth="1"/>
    <col min="4867" max="4872" width="8.625" style="146" customWidth="1"/>
    <col min="4873" max="4874" width="9" style="146"/>
    <col min="4875" max="4875" width="5.125" style="146" bestFit="1" customWidth="1"/>
    <col min="4876" max="4879" width="6.125" style="146" bestFit="1" customWidth="1"/>
    <col min="4880" max="5120" width="9" style="146"/>
    <col min="5121" max="5122" width="18.125" style="146" customWidth="1"/>
    <col min="5123" max="5128" width="8.625" style="146" customWidth="1"/>
    <col min="5129" max="5130" width="9" style="146"/>
    <col min="5131" max="5131" width="5.125" style="146" bestFit="1" customWidth="1"/>
    <col min="5132" max="5135" width="6.125" style="146" bestFit="1" customWidth="1"/>
    <col min="5136" max="5376" width="9" style="146"/>
    <col min="5377" max="5378" width="18.125" style="146" customWidth="1"/>
    <col min="5379" max="5384" width="8.625" style="146" customWidth="1"/>
    <col min="5385" max="5386" width="9" style="146"/>
    <col min="5387" max="5387" width="5.125" style="146" bestFit="1" customWidth="1"/>
    <col min="5388" max="5391" width="6.125" style="146" bestFit="1" customWidth="1"/>
    <col min="5392" max="5632" width="9" style="146"/>
    <col min="5633" max="5634" width="18.125" style="146" customWidth="1"/>
    <col min="5635" max="5640" width="8.625" style="146" customWidth="1"/>
    <col min="5641" max="5642" width="9" style="146"/>
    <col min="5643" max="5643" width="5.125" style="146" bestFit="1" customWidth="1"/>
    <col min="5644" max="5647" width="6.125" style="146" bestFit="1" customWidth="1"/>
    <col min="5648" max="5888" width="9" style="146"/>
    <col min="5889" max="5890" width="18.125" style="146" customWidth="1"/>
    <col min="5891" max="5896" width="8.625" style="146" customWidth="1"/>
    <col min="5897" max="5898" width="9" style="146"/>
    <col min="5899" max="5899" width="5.125" style="146" bestFit="1" customWidth="1"/>
    <col min="5900" max="5903" width="6.125" style="146" bestFit="1" customWidth="1"/>
    <col min="5904" max="6144" width="9" style="146"/>
    <col min="6145" max="6146" width="18.125" style="146" customWidth="1"/>
    <col min="6147" max="6152" width="8.625" style="146" customWidth="1"/>
    <col min="6153" max="6154" width="9" style="146"/>
    <col min="6155" max="6155" width="5.125" style="146" bestFit="1" customWidth="1"/>
    <col min="6156" max="6159" width="6.125" style="146" bestFit="1" customWidth="1"/>
    <col min="6160" max="6400" width="9" style="146"/>
    <col min="6401" max="6402" width="18.125" style="146" customWidth="1"/>
    <col min="6403" max="6408" width="8.625" style="146" customWidth="1"/>
    <col min="6409" max="6410" width="9" style="146"/>
    <col min="6411" max="6411" width="5.125" style="146" bestFit="1" customWidth="1"/>
    <col min="6412" max="6415" width="6.125" style="146" bestFit="1" customWidth="1"/>
    <col min="6416" max="6656" width="9" style="146"/>
    <col min="6657" max="6658" width="18.125" style="146" customWidth="1"/>
    <col min="6659" max="6664" width="8.625" style="146" customWidth="1"/>
    <col min="6665" max="6666" width="9" style="146"/>
    <col min="6667" max="6667" width="5.125" style="146" bestFit="1" customWidth="1"/>
    <col min="6668" max="6671" width="6.125" style="146" bestFit="1" customWidth="1"/>
    <col min="6672" max="6912" width="9" style="146"/>
    <col min="6913" max="6914" width="18.125" style="146" customWidth="1"/>
    <col min="6915" max="6920" width="8.625" style="146" customWidth="1"/>
    <col min="6921" max="6922" width="9" style="146"/>
    <col min="6923" max="6923" width="5.125" style="146" bestFit="1" customWidth="1"/>
    <col min="6924" max="6927" width="6.125" style="146" bestFit="1" customWidth="1"/>
    <col min="6928" max="7168" width="9" style="146"/>
    <col min="7169" max="7170" width="18.125" style="146" customWidth="1"/>
    <col min="7171" max="7176" width="8.625" style="146" customWidth="1"/>
    <col min="7177" max="7178" width="9" style="146"/>
    <col min="7179" max="7179" width="5.125" style="146" bestFit="1" customWidth="1"/>
    <col min="7180" max="7183" width="6.125" style="146" bestFit="1" customWidth="1"/>
    <col min="7184" max="7424" width="9" style="146"/>
    <col min="7425" max="7426" width="18.125" style="146" customWidth="1"/>
    <col min="7427" max="7432" width="8.625" style="146" customWidth="1"/>
    <col min="7433" max="7434" width="9" style="146"/>
    <col min="7435" max="7435" width="5.125" style="146" bestFit="1" customWidth="1"/>
    <col min="7436" max="7439" width="6.125" style="146" bestFit="1" customWidth="1"/>
    <col min="7440" max="7680" width="9" style="146"/>
    <col min="7681" max="7682" width="18.125" style="146" customWidth="1"/>
    <col min="7683" max="7688" width="8.625" style="146" customWidth="1"/>
    <col min="7689" max="7690" width="9" style="146"/>
    <col min="7691" max="7691" width="5.125" style="146" bestFit="1" customWidth="1"/>
    <col min="7692" max="7695" width="6.125" style="146" bestFit="1" customWidth="1"/>
    <col min="7696" max="7936" width="9" style="146"/>
    <col min="7937" max="7938" width="18.125" style="146" customWidth="1"/>
    <col min="7939" max="7944" width="8.625" style="146" customWidth="1"/>
    <col min="7945" max="7946" width="9" style="146"/>
    <col min="7947" max="7947" width="5.125" style="146" bestFit="1" customWidth="1"/>
    <col min="7948" max="7951" width="6.125" style="146" bestFit="1" customWidth="1"/>
    <col min="7952" max="8192" width="9" style="146"/>
    <col min="8193" max="8194" width="18.125" style="146" customWidth="1"/>
    <col min="8195" max="8200" width="8.625" style="146" customWidth="1"/>
    <col min="8201" max="8202" width="9" style="146"/>
    <col min="8203" max="8203" width="5.125" style="146" bestFit="1" customWidth="1"/>
    <col min="8204" max="8207" width="6.125" style="146" bestFit="1" customWidth="1"/>
    <col min="8208" max="8448" width="9" style="146"/>
    <col min="8449" max="8450" width="18.125" style="146" customWidth="1"/>
    <col min="8451" max="8456" width="8.625" style="146" customWidth="1"/>
    <col min="8457" max="8458" width="9" style="146"/>
    <col min="8459" max="8459" width="5.125" style="146" bestFit="1" customWidth="1"/>
    <col min="8460" max="8463" width="6.125" style="146" bestFit="1" customWidth="1"/>
    <col min="8464" max="8704" width="9" style="146"/>
    <col min="8705" max="8706" width="18.125" style="146" customWidth="1"/>
    <col min="8707" max="8712" width="8.625" style="146" customWidth="1"/>
    <col min="8713" max="8714" width="9" style="146"/>
    <col min="8715" max="8715" width="5.125" style="146" bestFit="1" customWidth="1"/>
    <col min="8716" max="8719" width="6.125" style="146" bestFit="1" customWidth="1"/>
    <col min="8720" max="8960" width="9" style="146"/>
    <col min="8961" max="8962" width="18.125" style="146" customWidth="1"/>
    <col min="8963" max="8968" width="8.625" style="146" customWidth="1"/>
    <col min="8969" max="8970" width="9" style="146"/>
    <col min="8971" max="8971" width="5.125" style="146" bestFit="1" customWidth="1"/>
    <col min="8972" max="8975" width="6.125" style="146" bestFit="1" customWidth="1"/>
    <col min="8976" max="9216" width="9" style="146"/>
    <col min="9217" max="9218" width="18.125" style="146" customWidth="1"/>
    <col min="9219" max="9224" width="8.625" style="146" customWidth="1"/>
    <col min="9225" max="9226" width="9" style="146"/>
    <col min="9227" max="9227" width="5.125" style="146" bestFit="1" customWidth="1"/>
    <col min="9228" max="9231" width="6.125" style="146" bestFit="1" customWidth="1"/>
    <col min="9232" max="9472" width="9" style="146"/>
    <col min="9473" max="9474" width="18.125" style="146" customWidth="1"/>
    <col min="9475" max="9480" width="8.625" style="146" customWidth="1"/>
    <col min="9481" max="9482" width="9" style="146"/>
    <col min="9483" max="9483" width="5.125" style="146" bestFit="1" customWidth="1"/>
    <col min="9484" max="9487" width="6.125" style="146" bestFit="1" customWidth="1"/>
    <col min="9488" max="9728" width="9" style="146"/>
    <col min="9729" max="9730" width="18.125" style="146" customWidth="1"/>
    <col min="9731" max="9736" width="8.625" style="146" customWidth="1"/>
    <col min="9737" max="9738" width="9" style="146"/>
    <col min="9739" max="9739" width="5.125" style="146" bestFit="1" customWidth="1"/>
    <col min="9740" max="9743" width="6.125" style="146" bestFit="1" customWidth="1"/>
    <col min="9744" max="9984" width="9" style="146"/>
    <col min="9985" max="9986" width="18.125" style="146" customWidth="1"/>
    <col min="9987" max="9992" width="8.625" style="146" customWidth="1"/>
    <col min="9993" max="9994" width="9" style="146"/>
    <col min="9995" max="9995" width="5.125" style="146" bestFit="1" customWidth="1"/>
    <col min="9996" max="9999" width="6.125" style="146" bestFit="1" customWidth="1"/>
    <col min="10000" max="10240" width="9" style="146"/>
    <col min="10241" max="10242" width="18.125" style="146" customWidth="1"/>
    <col min="10243" max="10248" width="8.625" style="146" customWidth="1"/>
    <col min="10249" max="10250" width="9" style="146"/>
    <col min="10251" max="10251" width="5.125" style="146" bestFit="1" customWidth="1"/>
    <col min="10252" max="10255" width="6.125" style="146" bestFit="1" customWidth="1"/>
    <col min="10256" max="10496" width="9" style="146"/>
    <col min="10497" max="10498" width="18.125" style="146" customWidth="1"/>
    <col min="10499" max="10504" width="8.625" style="146" customWidth="1"/>
    <col min="10505" max="10506" width="9" style="146"/>
    <col min="10507" max="10507" width="5.125" style="146" bestFit="1" customWidth="1"/>
    <col min="10508" max="10511" width="6.125" style="146" bestFit="1" customWidth="1"/>
    <col min="10512" max="10752" width="9" style="146"/>
    <col min="10753" max="10754" width="18.125" style="146" customWidth="1"/>
    <col min="10755" max="10760" width="8.625" style="146" customWidth="1"/>
    <col min="10761" max="10762" width="9" style="146"/>
    <col min="10763" max="10763" width="5.125" style="146" bestFit="1" customWidth="1"/>
    <col min="10764" max="10767" width="6.125" style="146" bestFit="1" customWidth="1"/>
    <col min="10768" max="11008" width="9" style="146"/>
    <col min="11009" max="11010" width="18.125" style="146" customWidth="1"/>
    <col min="11011" max="11016" width="8.625" style="146" customWidth="1"/>
    <col min="11017" max="11018" width="9" style="146"/>
    <col min="11019" max="11019" width="5.125" style="146" bestFit="1" customWidth="1"/>
    <col min="11020" max="11023" width="6.125" style="146" bestFit="1" customWidth="1"/>
    <col min="11024" max="11264" width="9" style="146"/>
    <col min="11265" max="11266" width="18.125" style="146" customWidth="1"/>
    <col min="11267" max="11272" width="8.625" style="146" customWidth="1"/>
    <col min="11273" max="11274" width="9" style="146"/>
    <col min="11275" max="11275" width="5.125" style="146" bestFit="1" customWidth="1"/>
    <col min="11276" max="11279" width="6.125" style="146" bestFit="1" customWidth="1"/>
    <col min="11280" max="11520" width="9" style="146"/>
    <col min="11521" max="11522" width="18.125" style="146" customWidth="1"/>
    <col min="11523" max="11528" width="8.625" style="146" customWidth="1"/>
    <col min="11529" max="11530" width="9" style="146"/>
    <col min="11531" max="11531" width="5.125" style="146" bestFit="1" customWidth="1"/>
    <col min="11532" max="11535" width="6.125" style="146" bestFit="1" customWidth="1"/>
    <col min="11536" max="11776" width="9" style="146"/>
    <col min="11777" max="11778" width="18.125" style="146" customWidth="1"/>
    <col min="11779" max="11784" width="8.625" style="146" customWidth="1"/>
    <col min="11785" max="11786" width="9" style="146"/>
    <col min="11787" max="11787" width="5.125" style="146" bestFit="1" customWidth="1"/>
    <col min="11788" max="11791" width="6.125" style="146" bestFit="1" customWidth="1"/>
    <col min="11792" max="12032" width="9" style="146"/>
    <col min="12033" max="12034" width="18.125" style="146" customWidth="1"/>
    <col min="12035" max="12040" width="8.625" style="146" customWidth="1"/>
    <col min="12041" max="12042" width="9" style="146"/>
    <col min="12043" max="12043" width="5.125" style="146" bestFit="1" customWidth="1"/>
    <col min="12044" max="12047" width="6.125" style="146" bestFit="1" customWidth="1"/>
    <col min="12048" max="12288" width="9" style="146"/>
    <col min="12289" max="12290" width="18.125" style="146" customWidth="1"/>
    <col min="12291" max="12296" width="8.625" style="146" customWidth="1"/>
    <col min="12297" max="12298" width="9" style="146"/>
    <col min="12299" max="12299" width="5.125" style="146" bestFit="1" customWidth="1"/>
    <col min="12300" max="12303" width="6.125" style="146" bestFit="1" customWidth="1"/>
    <col min="12304" max="12544" width="9" style="146"/>
    <col min="12545" max="12546" width="18.125" style="146" customWidth="1"/>
    <col min="12547" max="12552" width="8.625" style="146" customWidth="1"/>
    <col min="12553" max="12554" width="9" style="146"/>
    <col min="12555" max="12555" width="5.125" style="146" bestFit="1" customWidth="1"/>
    <col min="12556" max="12559" width="6.125" style="146" bestFit="1" customWidth="1"/>
    <col min="12560" max="12800" width="9" style="146"/>
    <col min="12801" max="12802" width="18.125" style="146" customWidth="1"/>
    <col min="12803" max="12808" width="8.625" style="146" customWidth="1"/>
    <col min="12809" max="12810" width="9" style="146"/>
    <col min="12811" max="12811" width="5.125" style="146" bestFit="1" customWidth="1"/>
    <col min="12812" max="12815" width="6.125" style="146" bestFit="1" customWidth="1"/>
    <col min="12816" max="13056" width="9" style="146"/>
    <col min="13057" max="13058" width="18.125" style="146" customWidth="1"/>
    <col min="13059" max="13064" width="8.625" style="146" customWidth="1"/>
    <col min="13065" max="13066" width="9" style="146"/>
    <col min="13067" max="13067" width="5.125" style="146" bestFit="1" customWidth="1"/>
    <col min="13068" max="13071" width="6.125" style="146" bestFit="1" customWidth="1"/>
    <col min="13072" max="13312" width="9" style="146"/>
    <col min="13313" max="13314" width="18.125" style="146" customWidth="1"/>
    <col min="13315" max="13320" width="8.625" style="146" customWidth="1"/>
    <col min="13321" max="13322" width="9" style="146"/>
    <col min="13323" max="13323" width="5.125" style="146" bestFit="1" customWidth="1"/>
    <col min="13324" max="13327" width="6.125" style="146" bestFit="1" customWidth="1"/>
    <col min="13328" max="13568" width="9" style="146"/>
    <col min="13569" max="13570" width="18.125" style="146" customWidth="1"/>
    <col min="13571" max="13576" width="8.625" style="146" customWidth="1"/>
    <col min="13577" max="13578" width="9" style="146"/>
    <col min="13579" max="13579" width="5.125" style="146" bestFit="1" customWidth="1"/>
    <col min="13580" max="13583" width="6.125" style="146" bestFit="1" customWidth="1"/>
    <col min="13584" max="13824" width="9" style="146"/>
    <col min="13825" max="13826" width="18.125" style="146" customWidth="1"/>
    <col min="13827" max="13832" width="8.625" style="146" customWidth="1"/>
    <col min="13833" max="13834" width="9" style="146"/>
    <col min="13835" max="13835" width="5.125" style="146" bestFit="1" customWidth="1"/>
    <col min="13836" max="13839" width="6.125" style="146" bestFit="1" customWidth="1"/>
    <col min="13840" max="14080" width="9" style="146"/>
    <col min="14081" max="14082" width="18.125" style="146" customWidth="1"/>
    <col min="14083" max="14088" width="8.625" style="146" customWidth="1"/>
    <col min="14089" max="14090" width="9" style="146"/>
    <col min="14091" max="14091" width="5.125" style="146" bestFit="1" customWidth="1"/>
    <col min="14092" max="14095" width="6.125" style="146" bestFit="1" customWidth="1"/>
    <col min="14096" max="14336" width="9" style="146"/>
    <col min="14337" max="14338" width="18.125" style="146" customWidth="1"/>
    <col min="14339" max="14344" width="8.625" style="146" customWidth="1"/>
    <col min="14345" max="14346" width="9" style="146"/>
    <col min="14347" max="14347" width="5.125" style="146" bestFit="1" customWidth="1"/>
    <col min="14348" max="14351" width="6.125" style="146" bestFit="1" customWidth="1"/>
    <col min="14352" max="14592" width="9" style="146"/>
    <col min="14593" max="14594" width="18.125" style="146" customWidth="1"/>
    <col min="14595" max="14600" width="8.625" style="146" customWidth="1"/>
    <col min="14601" max="14602" width="9" style="146"/>
    <col min="14603" max="14603" width="5.125" style="146" bestFit="1" customWidth="1"/>
    <col min="14604" max="14607" width="6.125" style="146" bestFit="1" customWidth="1"/>
    <col min="14608" max="14848" width="9" style="146"/>
    <col min="14849" max="14850" width="18.125" style="146" customWidth="1"/>
    <col min="14851" max="14856" width="8.625" style="146" customWidth="1"/>
    <col min="14857" max="14858" width="9" style="146"/>
    <col min="14859" max="14859" width="5.125" style="146" bestFit="1" customWidth="1"/>
    <col min="14860" max="14863" width="6.125" style="146" bestFit="1" customWidth="1"/>
    <col min="14864" max="15104" width="9" style="146"/>
    <col min="15105" max="15106" width="18.125" style="146" customWidth="1"/>
    <col min="15107" max="15112" width="8.625" style="146" customWidth="1"/>
    <col min="15113" max="15114" width="9" style="146"/>
    <col min="15115" max="15115" width="5.125" style="146" bestFit="1" customWidth="1"/>
    <col min="15116" max="15119" width="6.125" style="146" bestFit="1" customWidth="1"/>
    <col min="15120" max="15360" width="9" style="146"/>
    <col min="15361" max="15362" width="18.125" style="146" customWidth="1"/>
    <col min="15363" max="15368" width="8.625" style="146" customWidth="1"/>
    <col min="15369" max="15370" width="9" style="146"/>
    <col min="15371" max="15371" width="5.125" style="146" bestFit="1" customWidth="1"/>
    <col min="15372" max="15375" width="6.125" style="146" bestFit="1" customWidth="1"/>
    <col min="15376" max="15616" width="9" style="146"/>
    <col min="15617" max="15618" width="18.125" style="146" customWidth="1"/>
    <col min="15619" max="15624" width="8.625" style="146" customWidth="1"/>
    <col min="15625" max="15626" width="9" style="146"/>
    <col min="15627" max="15627" width="5.125" style="146" bestFit="1" customWidth="1"/>
    <col min="15628" max="15631" width="6.125" style="146" bestFit="1" customWidth="1"/>
    <col min="15632" max="15872" width="9" style="146"/>
    <col min="15873" max="15874" width="18.125" style="146" customWidth="1"/>
    <col min="15875" max="15880" width="8.625" style="146" customWidth="1"/>
    <col min="15881" max="15882" width="9" style="146"/>
    <col min="15883" max="15883" width="5.125" style="146" bestFit="1" customWidth="1"/>
    <col min="15884" max="15887" width="6.125" style="146" bestFit="1" customWidth="1"/>
    <col min="15888" max="16128" width="9" style="146"/>
    <col min="16129" max="16130" width="18.125" style="146" customWidth="1"/>
    <col min="16131" max="16136" width="8.625" style="146" customWidth="1"/>
    <col min="16137" max="16138" width="9" style="146"/>
    <col min="16139" max="16139" width="5.125" style="146" bestFit="1" customWidth="1"/>
    <col min="16140" max="16143" width="6.125" style="146" bestFit="1" customWidth="1"/>
    <col min="16144" max="16384" width="9" style="146"/>
  </cols>
  <sheetData>
    <row r="1" spans="1:8" ht="27" customHeight="1">
      <c r="A1" s="219" t="s">
        <v>95</v>
      </c>
      <c r="B1" s="219"/>
      <c r="C1" s="219"/>
      <c r="D1" s="219"/>
      <c r="E1" s="219"/>
      <c r="F1" s="218" t="s">
        <v>94</v>
      </c>
      <c r="G1" s="218"/>
      <c r="H1" s="218"/>
    </row>
    <row r="2" spans="1:8" ht="27" customHeight="1">
      <c r="A2" s="224"/>
      <c r="B2" s="224"/>
      <c r="C2" s="224"/>
      <c r="D2" s="224"/>
      <c r="E2" s="224"/>
    </row>
    <row r="3" spans="1:8" ht="27" customHeight="1">
      <c r="A3" s="224"/>
      <c r="B3" s="224"/>
      <c r="C3" s="224"/>
      <c r="D3" s="224"/>
      <c r="E3" s="224"/>
    </row>
    <row r="4" spans="1:8" ht="27" customHeight="1">
      <c r="A4" s="224"/>
      <c r="B4" s="224"/>
      <c r="C4" s="224"/>
      <c r="D4" s="224"/>
      <c r="E4" s="224"/>
    </row>
    <row r="5" spans="1:8" ht="27" customHeight="1">
      <c r="A5" s="224"/>
      <c r="B5" s="224"/>
      <c r="C5" s="224"/>
      <c r="D5" s="224"/>
      <c r="E5" s="224"/>
    </row>
    <row r="6" spans="1:8" ht="27" customHeight="1">
      <c r="A6" s="224"/>
      <c r="B6" s="224"/>
      <c r="C6" s="224"/>
      <c r="D6" s="224"/>
      <c r="E6" s="224"/>
    </row>
    <row r="7" spans="1:8" ht="27" customHeight="1">
      <c r="A7" s="224"/>
      <c r="B7" s="224"/>
      <c r="C7" s="224"/>
      <c r="D7" s="224"/>
      <c r="E7" s="224"/>
    </row>
    <row r="8" spans="1:8" ht="27" customHeight="1">
      <c r="A8" s="224"/>
      <c r="B8" s="224"/>
      <c r="C8" s="224"/>
      <c r="D8" s="224"/>
      <c r="E8" s="224"/>
    </row>
    <row r="9" spans="1:8" ht="27" customHeight="1">
      <c r="A9" s="224"/>
      <c r="B9" s="224"/>
      <c r="C9" s="224"/>
      <c r="D9" s="224"/>
      <c r="E9" s="224"/>
    </row>
    <row r="10" spans="1:8" ht="27" customHeight="1">
      <c r="A10" s="224"/>
      <c r="B10" s="224"/>
      <c r="C10" s="224"/>
      <c r="D10" s="224"/>
      <c r="E10" s="224"/>
    </row>
    <row r="11" spans="1:8" ht="27" customHeight="1">
      <c r="A11" s="224"/>
      <c r="B11" s="224"/>
      <c r="C11" s="224"/>
      <c r="D11" s="224"/>
      <c r="E11" s="224"/>
    </row>
    <row r="12" spans="1:8" ht="27" customHeight="1">
      <c r="A12" s="224"/>
      <c r="B12" s="224"/>
      <c r="C12" s="224"/>
      <c r="D12" s="224"/>
      <c r="E12" s="224"/>
    </row>
    <row r="13" spans="1:8" ht="27" customHeight="1">
      <c r="A13" s="224"/>
      <c r="B13" s="224"/>
      <c r="C13" s="224"/>
      <c r="D13" s="224"/>
      <c r="E13" s="224"/>
    </row>
    <row r="14" spans="1:8" ht="27" customHeight="1">
      <c r="A14" s="224"/>
      <c r="B14" s="224"/>
      <c r="C14" s="224"/>
      <c r="D14" s="224"/>
      <c r="E14" s="224"/>
    </row>
    <row r="15" spans="1:8" ht="27" customHeight="1">
      <c r="A15" s="219" t="s">
        <v>96</v>
      </c>
      <c r="B15" s="219"/>
      <c r="C15" s="219"/>
      <c r="D15" s="219"/>
      <c r="E15" s="219"/>
      <c r="F15" s="219"/>
      <c r="G15" s="219"/>
      <c r="H15" s="219"/>
    </row>
    <row r="16" spans="1:8" ht="278.25" customHeight="1">
      <c r="A16" s="225"/>
      <c r="B16" s="226"/>
      <c r="C16" s="226"/>
      <c r="D16" s="226"/>
      <c r="E16" s="226"/>
      <c r="F16" s="226"/>
      <c r="G16" s="226"/>
      <c r="H16" s="226"/>
    </row>
    <row r="17" spans="1:9" ht="27" customHeight="1">
      <c r="A17" s="219" t="s">
        <v>97</v>
      </c>
      <c r="B17" s="219"/>
      <c r="C17" s="219"/>
      <c r="D17" s="219"/>
      <c r="E17" s="219"/>
      <c r="F17" s="219"/>
      <c r="G17" s="219"/>
      <c r="H17" s="219"/>
      <c r="I17" s="147"/>
    </row>
    <row r="18" spans="1:9" ht="4.5" customHeight="1" thickBot="1">
      <c r="A18" s="148"/>
      <c r="B18" s="148"/>
      <c r="C18" s="148"/>
      <c r="D18" s="148"/>
      <c r="E18" s="148"/>
      <c r="F18" s="148"/>
      <c r="G18" s="148"/>
      <c r="H18" s="148"/>
    </row>
    <row r="19" spans="1:9" ht="15.95" hidden="1" customHeight="1">
      <c r="A19" s="149" t="s">
        <v>54</v>
      </c>
      <c r="B19" s="150" t="s">
        <v>55</v>
      </c>
      <c r="C19" s="151"/>
      <c r="D19" s="152">
        <v>8.9</v>
      </c>
      <c r="E19" s="153"/>
      <c r="F19" s="153"/>
      <c r="G19" s="153"/>
      <c r="H19" s="154" t="s">
        <v>56</v>
      </c>
    </row>
    <row r="20" spans="1:9" ht="15.95" hidden="1" customHeight="1">
      <c r="A20" s="155"/>
      <c r="B20" s="156" t="s">
        <v>57</v>
      </c>
      <c r="C20" s="157"/>
      <c r="D20" s="158">
        <v>8.3000000000000007</v>
      </c>
      <c r="E20" s="159"/>
      <c r="F20" s="159"/>
      <c r="G20" s="159"/>
      <c r="H20" s="160" t="s">
        <v>58</v>
      </c>
    </row>
    <row r="21" spans="1:9" ht="15.75" customHeight="1">
      <c r="A21" s="161" t="s">
        <v>108</v>
      </c>
      <c r="B21" s="162"/>
      <c r="C21" s="143" t="s">
        <v>88</v>
      </c>
      <c r="D21" s="145">
        <v>500</v>
      </c>
      <c r="E21" s="163" t="s">
        <v>103</v>
      </c>
      <c r="G21" s="135">
        <v>700</v>
      </c>
      <c r="H21" s="164"/>
    </row>
    <row r="22" spans="1:9" ht="15.75" customHeight="1">
      <c r="A22" s="220" t="s">
        <v>100</v>
      </c>
      <c r="B22" s="221"/>
      <c r="C22" s="144" t="s">
        <v>102</v>
      </c>
      <c r="D22" s="165">
        <f>通気面接計算シート!D7</f>
        <v>410.97</v>
      </c>
      <c r="E22" s="166"/>
      <c r="F22" s="166"/>
      <c r="G22" s="166"/>
      <c r="H22" s="167" t="s">
        <v>104</v>
      </c>
    </row>
    <row r="23" spans="1:9" ht="15.75" customHeight="1">
      <c r="A23" s="220" t="s">
        <v>101</v>
      </c>
      <c r="B23" s="221"/>
      <c r="C23" s="168"/>
      <c r="D23" s="165">
        <f>通気面接計算シート!D8</f>
        <v>14.050256410256413</v>
      </c>
      <c r="E23" s="166"/>
      <c r="F23" s="166"/>
      <c r="G23" s="166"/>
      <c r="H23" s="169" t="s">
        <v>105</v>
      </c>
    </row>
    <row r="24" spans="1:9" hidden="1">
      <c r="A24" s="170" t="s">
        <v>65</v>
      </c>
      <c r="B24" s="171"/>
      <c r="C24" s="168" t="s">
        <v>66</v>
      </c>
      <c r="D24" s="172">
        <v>1.88</v>
      </c>
      <c r="E24" s="173"/>
      <c r="F24" s="173"/>
      <c r="G24" s="173"/>
      <c r="H24" s="174"/>
    </row>
    <row r="25" spans="1:9" ht="15.75" hidden="1">
      <c r="A25" s="170" t="s">
        <v>67</v>
      </c>
      <c r="B25" s="171"/>
      <c r="C25" s="168" t="s">
        <v>68</v>
      </c>
      <c r="D25" s="175">
        <f>D26/0.7</f>
        <v>292.37580000000003</v>
      </c>
      <c r="E25" s="173"/>
      <c r="F25" s="173"/>
      <c r="G25" s="173"/>
      <c r="H25" s="176" t="s">
        <v>69</v>
      </c>
    </row>
    <row r="26" spans="1:9" ht="15.75" customHeight="1" thickBot="1">
      <c r="A26" s="222" t="s">
        <v>98</v>
      </c>
      <c r="B26" s="223"/>
      <c r="C26" s="177" t="s">
        <v>71</v>
      </c>
      <c r="D26" s="178">
        <f>D22*D27</f>
        <v>204.66306</v>
      </c>
      <c r="E26" s="179"/>
      <c r="F26" s="179"/>
      <c r="G26" s="179"/>
      <c r="H26" s="180" t="s">
        <v>104</v>
      </c>
    </row>
    <row r="27" spans="1:9" ht="14.25" hidden="1">
      <c r="A27" s="181" t="s">
        <v>73</v>
      </c>
      <c r="B27" s="182"/>
      <c r="C27" s="183" t="s">
        <v>74</v>
      </c>
      <c r="D27" s="184">
        <v>0.498</v>
      </c>
      <c r="E27" s="185"/>
      <c r="F27" s="185"/>
      <c r="G27" s="185"/>
      <c r="H27" s="186"/>
    </row>
    <row r="28" spans="1:9" ht="21" hidden="1" thickBot="1">
      <c r="A28" s="187" t="s">
        <v>75</v>
      </c>
      <c r="B28" s="188"/>
      <c r="C28" s="189" t="s">
        <v>76</v>
      </c>
      <c r="D28" s="190">
        <f>D25</f>
        <v>292.37580000000003</v>
      </c>
      <c r="E28" s="191" t="s">
        <v>77</v>
      </c>
      <c r="F28" s="192">
        <f>ROUND(1/D24,2)</f>
        <v>0.53</v>
      </c>
      <c r="G28" s="193"/>
      <c r="H28" s="194" t="s">
        <v>78</v>
      </c>
    </row>
    <row r="29" spans="1:9" ht="17.25" hidden="1">
      <c r="A29" s="181" t="s">
        <v>79</v>
      </c>
      <c r="B29" s="182"/>
      <c r="C29" s="183" t="s">
        <v>80</v>
      </c>
      <c r="D29" s="195">
        <f>ROUND(D25/(D22*0.0001)/3600,2)</f>
        <v>1.98</v>
      </c>
      <c r="E29" s="196"/>
      <c r="F29" s="197"/>
      <c r="G29" s="197"/>
      <c r="H29" s="198" t="s">
        <v>81</v>
      </c>
    </row>
    <row r="30" spans="1:9" ht="18" hidden="1" thickBot="1">
      <c r="A30" s="187" t="s">
        <v>99</v>
      </c>
      <c r="B30" s="188"/>
      <c r="C30" s="189" t="s">
        <v>83</v>
      </c>
      <c r="D30" s="199">
        <f>ROUND((2*9.8)/((353/(273+D20))*D29^2),2)</f>
        <v>3.98</v>
      </c>
      <c r="E30" s="200"/>
      <c r="F30" s="201"/>
      <c r="G30" s="201"/>
      <c r="H30" s="202"/>
    </row>
    <row r="31" spans="1:9" ht="14.25" customHeight="1">
      <c r="A31" s="203"/>
      <c r="B31" s="204"/>
      <c r="C31" s="205"/>
      <c r="D31" s="203"/>
      <c r="E31" s="206"/>
      <c r="F31" s="207"/>
      <c r="G31" s="207"/>
      <c r="H31" s="208"/>
    </row>
    <row r="32" spans="1:9" s="209" customFormat="1" ht="14.25" customHeight="1">
      <c r="B32" s="147"/>
      <c r="C32" s="147" t="s">
        <v>106</v>
      </c>
      <c r="D32" s="147"/>
      <c r="E32" s="147"/>
      <c r="F32" s="216" t="s">
        <v>107</v>
      </c>
      <c r="G32" s="217"/>
      <c r="H32" s="217"/>
    </row>
    <row r="33" spans="1:8" s="210" customFormat="1"/>
    <row r="34" spans="1:8" s="210" customFormat="1"/>
    <row r="35" spans="1:8" s="210" customFormat="1"/>
    <row r="36" spans="1:8" s="210" customFormat="1" ht="14.25">
      <c r="A36" s="211" t="s">
        <v>92</v>
      </c>
      <c r="B36" s="212">
        <v>0</v>
      </c>
      <c r="C36" s="213">
        <v>10</v>
      </c>
      <c r="D36" s="213">
        <v>20</v>
      </c>
      <c r="E36" s="213">
        <v>30</v>
      </c>
      <c r="F36" s="213">
        <v>40</v>
      </c>
      <c r="G36" s="213">
        <v>50</v>
      </c>
      <c r="H36" s="213">
        <v>60</v>
      </c>
    </row>
    <row r="37" spans="1:8" s="210" customFormat="1" ht="15.75">
      <c r="A37" s="211" t="s">
        <v>93</v>
      </c>
      <c r="B37" s="214">
        <f>$D$25*(B36/9.8)^(1/$D$24)</f>
        <v>0</v>
      </c>
      <c r="C37" s="214">
        <f t="shared" ref="C37:H37" si="0">$D$25*(C36/9.8)^(1/$D$24)</f>
        <v>295.53464798182762</v>
      </c>
      <c r="D37" s="214">
        <f t="shared" si="0"/>
        <v>427.29788409457507</v>
      </c>
      <c r="E37" s="214">
        <f t="shared" si="0"/>
        <v>530.14699687186874</v>
      </c>
      <c r="F37" s="214">
        <f t="shared" si="0"/>
        <v>617.80736370013688</v>
      </c>
      <c r="G37" s="214">
        <f t="shared" si="0"/>
        <v>695.66629072344028</v>
      </c>
      <c r="H37" s="214">
        <f t="shared" si="0"/>
        <v>766.5114448319174</v>
      </c>
    </row>
    <row r="38" spans="1:8" s="210" customFormat="1"/>
    <row r="39" spans="1:8" s="210" customFormat="1">
      <c r="A39" s="215" t="s">
        <v>86</v>
      </c>
    </row>
    <row r="40" spans="1:8" s="210" customFormat="1">
      <c r="A40" s="215"/>
    </row>
    <row r="41" spans="1:8" s="210" customFormat="1"/>
  </sheetData>
  <sheetProtection algorithmName="SHA-512" hashValue="mAm6p3/j87gDfSbp1rCTsj8HHRuApzA2IetObn6GQl6hv0W4xzxtnkdzLM4oyl2UAPc5R6VgaTnFa+cdPMuPZA==" saltValue="MewA/814YXlPDf2pJi5Aeg==" spinCount="100000" sheet="1" objects="1" scenarios="1" selectLockedCells="1"/>
  <mergeCells count="10">
    <mergeCell ref="F32:H32"/>
    <mergeCell ref="F1:H1"/>
    <mergeCell ref="A1:E1"/>
    <mergeCell ref="A22:B22"/>
    <mergeCell ref="A23:B23"/>
    <mergeCell ref="A26:B26"/>
    <mergeCell ref="A2:E14"/>
    <mergeCell ref="A15:H15"/>
    <mergeCell ref="A16:H16"/>
    <mergeCell ref="A17:H17"/>
  </mergeCells>
  <phoneticPr fontId="1"/>
  <pageMargins left="0.7" right="0.7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="75" zoomScaleNormal="75" workbookViewId="0">
      <selection activeCell="D25" sqref="D25:G25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31" t="s">
        <v>90</v>
      </c>
      <c r="B1" s="231"/>
      <c r="C1" s="231"/>
      <c r="D1" s="231"/>
      <c r="E1" s="232" t="s">
        <v>51</v>
      </c>
      <c r="F1" s="232"/>
      <c r="G1" s="232"/>
      <c r="H1" s="232"/>
    </row>
    <row r="2" spans="1:8">
      <c r="A2" s="233"/>
      <c r="B2" s="233"/>
      <c r="C2" s="233"/>
      <c r="D2" s="233"/>
      <c r="E2" s="233"/>
    </row>
    <row r="3" spans="1:8">
      <c r="A3" s="233"/>
      <c r="B3" s="233"/>
      <c r="C3" s="233"/>
      <c r="D3" s="233"/>
      <c r="E3" s="233"/>
    </row>
    <row r="4" spans="1:8" ht="20.100000000000001" customHeight="1">
      <c r="A4" s="233"/>
      <c r="B4" s="233"/>
      <c r="C4" s="233"/>
      <c r="D4" s="233"/>
      <c r="E4" s="233"/>
    </row>
    <row r="5" spans="1:8" ht="20.100000000000001" customHeight="1">
      <c r="A5" s="233"/>
      <c r="B5" s="233"/>
      <c r="C5" s="233"/>
      <c r="D5" s="233"/>
      <c r="E5" s="233"/>
    </row>
    <row r="6" spans="1:8" ht="20.100000000000001" customHeight="1">
      <c r="A6" s="233"/>
      <c r="B6" s="233"/>
      <c r="C6" s="233"/>
      <c r="D6" s="233"/>
      <c r="E6" s="233"/>
    </row>
    <row r="7" spans="1:8" ht="20.100000000000001" customHeight="1">
      <c r="A7" s="233"/>
      <c r="B7" s="233"/>
      <c r="C7" s="233"/>
      <c r="D7" s="233"/>
      <c r="E7" s="233"/>
    </row>
    <row r="8" spans="1:8" ht="20.100000000000001" customHeight="1">
      <c r="A8" s="233"/>
      <c r="B8" s="233"/>
      <c r="C8" s="233"/>
      <c r="D8" s="233"/>
      <c r="E8" s="233"/>
    </row>
    <row r="9" spans="1:8" ht="20.100000000000001" customHeight="1">
      <c r="A9" s="233"/>
      <c r="B9" s="233"/>
      <c r="C9" s="233"/>
      <c r="D9" s="233"/>
      <c r="E9" s="233"/>
    </row>
    <row r="10" spans="1:8" ht="20.100000000000001" customHeight="1">
      <c r="A10" s="233"/>
      <c r="B10" s="233"/>
      <c r="C10" s="233"/>
      <c r="D10" s="233"/>
      <c r="E10" s="233"/>
    </row>
    <row r="11" spans="1:8" ht="20.100000000000001" customHeight="1">
      <c r="A11" s="233"/>
      <c r="B11" s="233"/>
      <c r="C11" s="233"/>
      <c r="D11" s="233"/>
      <c r="E11" s="233"/>
    </row>
    <row r="12" spans="1:8" ht="20.100000000000001" customHeight="1">
      <c r="A12" s="233"/>
      <c r="B12" s="233"/>
      <c r="C12" s="233"/>
      <c r="D12" s="233"/>
      <c r="E12" s="233"/>
    </row>
    <row r="13" spans="1:8" ht="20.100000000000001" customHeight="1">
      <c r="A13" s="233"/>
      <c r="B13" s="233"/>
      <c r="C13" s="233"/>
      <c r="D13" s="233"/>
      <c r="E13" s="233"/>
    </row>
    <row r="14" spans="1:8" ht="20.100000000000001" customHeight="1">
      <c r="A14" s="233"/>
      <c r="B14" s="233"/>
      <c r="C14" s="233"/>
      <c r="D14" s="233"/>
      <c r="E14" s="233"/>
    </row>
    <row r="15" spans="1:8" ht="20.100000000000001" customHeight="1">
      <c r="A15" s="233"/>
      <c r="B15" s="233"/>
      <c r="C15" s="233"/>
      <c r="D15" s="233"/>
      <c r="E15" s="233"/>
    </row>
    <row r="16" spans="1:8" ht="20.100000000000001" customHeight="1">
      <c r="A16" s="233"/>
      <c r="B16" s="233"/>
      <c r="C16" s="233"/>
      <c r="D16" s="233"/>
      <c r="E16" s="233"/>
    </row>
    <row r="17" spans="1:8" ht="20.100000000000001" customHeight="1">
      <c r="A17" s="233"/>
      <c r="B17" s="233"/>
      <c r="C17" s="233"/>
      <c r="D17" s="233"/>
      <c r="E17" s="233"/>
    </row>
    <row r="18" spans="1:8" ht="24.95" customHeight="1">
      <c r="A18" s="231" t="s">
        <v>52</v>
      </c>
      <c r="B18" s="231"/>
      <c r="C18" s="231"/>
      <c r="D18" s="231"/>
      <c r="E18" s="231"/>
      <c r="F18" s="231"/>
      <c r="G18" s="231"/>
      <c r="H18" s="231"/>
    </row>
    <row r="19" spans="1:8" ht="279.95" customHeight="1">
      <c r="A19" s="234"/>
      <c r="B19" s="235"/>
      <c r="C19" s="235"/>
      <c r="D19" s="235"/>
      <c r="E19" s="235"/>
      <c r="F19" s="235"/>
      <c r="G19" s="235"/>
      <c r="H19" s="235"/>
    </row>
    <row r="20" spans="1:8" ht="24.95" customHeight="1">
      <c r="A20" s="236" t="s">
        <v>53</v>
      </c>
      <c r="B20" s="236"/>
      <c r="C20" s="236"/>
      <c r="D20" s="236"/>
      <c r="E20" s="236"/>
      <c r="F20" s="236"/>
      <c r="G20" s="236"/>
      <c r="H20" s="236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7"/>
      <c r="B23" s="118" t="s">
        <v>57</v>
      </c>
      <c r="C23" s="119"/>
      <c r="D23" s="120">
        <v>8.3000000000000007</v>
      </c>
      <c r="E23" s="121"/>
      <c r="F23" s="121"/>
      <c r="G23" s="121"/>
      <c r="H23" s="122" t="s">
        <v>58</v>
      </c>
    </row>
    <row r="24" spans="1:8" ht="15.95" customHeight="1">
      <c r="A24" s="124" t="s">
        <v>59</v>
      </c>
      <c r="B24" s="125"/>
      <c r="C24" s="126" t="s">
        <v>88</v>
      </c>
      <c r="D24" s="134">
        <v>500</v>
      </c>
      <c r="E24" s="127" t="s">
        <v>89</v>
      </c>
      <c r="F24" s="135">
        <v>700</v>
      </c>
      <c r="G24" s="128"/>
      <c r="H24" s="129"/>
    </row>
    <row r="25" spans="1:8" ht="15.95" customHeight="1">
      <c r="A25" s="105" t="s">
        <v>87</v>
      </c>
      <c r="B25" s="106"/>
      <c r="C25" s="107"/>
      <c r="D25" s="136">
        <v>27</v>
      </c>
      <c r="E25" s="109"/>
      <c r="F25" s="108"/>
      <c r="G25" s="71"/>
      <c r="H25" s="75"/>
    </row>
    <row r="26" spans="1:8" ht="15.75">
      <c r="A26" s="72" t="s">
        <v>60</v>
      </c>
      <c r="B26" s="73"/>
      <c r="C26" s="74" t="s">
        <v>61</v>
      </c>
      <c r="D26" s="227">
        <f>通気面接計算シート!D16</f>
        <v>322.90500000000003</v>
      </c>
      <c r="E26" s="227"/>
      <c r="F26" s="227"/>
      <c r="G26" s="227"/>
      <c r="H26" s="75" t="s">
        <v>62</v>
      </c>
    </row>
    <row r="27" spans="1:8" ht="15" thickBot="1">
      <c r="A27" s="130" t="s">
        <v>63</v>
      </c>
      <c r="B27" s="131"/>
      <c r="C27" s="132"/>
      <c r="D27" s="228">
        <f>通気面接計算シート!D17</f>
        <v>12.168334181222091</v>
      </c>
      <c r="E27" s="228"/>
      <c r="F27" s="228"/>
      <c r="G27" s="228"/>
      <c r="H27" s="133" t="s">
        <v>64</v>
      </c>
    </row>
    <row r="28" spans="1:8" ht="14.25" hidden="1">
      <c r="A28" s="72" t="s">
        <v>65</v>
      </c>
      <c r="B28" s="95"/>
      <c r="C28" s="74" t="s">
        <v>66</v>
      </c>
      <c r="D28" s="79">
        <v>1.88</v>
      </c>
      <c r="E28" s="80"/>
      <c r="F28" s="80"/>
      <c r="G28" s="80"/>
      <c r="H28" s="123"/>
    </row>
    <row r="29" spans="1:8" ht="15.75" hidden="1">
      <c r="A29" s="76" t="s">
        <v>67</v>
      </c>
      <c r="B29" s="77"/>
      <c r="C29" s="78" t="s">
        <v>68</v>
      </c>
      <c r="D29" s="82">
        <f>D30/0.7</f>
        <v>229.72384285714287</v>
      </c>
      <c r="E29" s="83"/>
      <c r="F29" s="83"/>
      <c r="G29" s="83"/>
      <c r="H29" s="81" t="s">
        <v>69</v>
      </c>
    </row>
    <row r="30" spans="1:8" ht="15.75" hidden="1">
      <c r="A30" s="76" t="s">
        <v>70</v>
      </c>
      <c r="B30" s="77"/>
      <c r="C30" s="78" t="s">
        <v>71</v>
      </c>
      <c r="D30" s="82">
        <f>D26*D31</f>
        <v>160.80669</v>
      </c>
      <c r="E30" s="83"/>
      <c r="F30" s="83"/>
      <c r="G30" s="83"/>
      <c r="H30" s="84" t="s">
        <v>72</v>
      </c>
    </row>
    <row r="31" spans="1:8" ht="14.25" hidden="1">
      <c r="A31" s="76" t="s">
        <v>73</v>
      </c>
      <c r="B31" s="77"/>
      <c r="C31" s="78" t="s">
        <v>74</v>
      </c>
      <c r="D31" s="85">
        <v>0.498</v>
      </c>
      <c r="E31" s="83"/>
      <c r="F31" s="83"/>
      <c r="G31" s="83"/>
      <c r="H31" s="86"/>
    </row>
    <row r="32" spans="1:8" ht="21" hidden="1" thickBot="1">
      <c r="A32" s="87" t="s">
        <v>75</v>
      </c>
      <c r="B32" s="88"/>
      <c r="C32" s="89" t="s">
        <v>76</v>
      </c>
      <c r="D32" s="90">
        <f>D29</f>
        <v>229.72384285714287</v>
      </c>
      <c r="E32" s="91" t="s">
        <v>77</v>
      </c>
      <c r="F32" s="92">
        <f>ROUND(1/D28,2)</f>
        <v>0.53</v>
      </c>
      <c r="G32" s="93"/>
      <c r="H32" s="94" t="s">
        <v>78</v>
      </c>
    </row>
    <row r="33" spans="1:8" ht="17.25" hidden="1">
      <c r="A33" s="72" t="s">
        <v>79</v>
      </c>
      <c r="B33" s="95"/>
      <c r="C33" s="74" t="s">
        <v>80</v>
      </c>
      <c r="D33" s="96">
        <f>ROUND(D29/(D26*0.0001)/3600,2)</f>
        <v>1.98</v>
      </c>
      <c r="E33" s="97"/>
      <c r="F33" s="98"/>
      <c r="G33" s="98"/>
      <c r="H33" s="99" t="s">
        <v>81</v>
      </c>
    </row>
    <row r="34" spans="1:8" ht="18" hidden="1" thickBot="1">
      <c r="A34" s="87" t="s">
        <v>82</v>
      </c>
      <c r="B34" s="88"/>
      <c r="C34" s="89" t="s">
        <v>83</v>
      </c>
      <c r="D34" s="100">
        <f>ROUND((2*9.8)/((353/(273+D23))*D33^2),2)</f>
        <v>3.98</v>
      </c>
      <c r="E34" s="101"/>
      <c r="F34" s="102"/>
      <c r="G34" s="102"/>
      <c r="H34" s="103"/>
    </row>
    <row r="35" spans="1:8" s="110" customFormat="1" ht="17.25">
      <c r="A35" s="111"/>
      <c r="B35" s="112"/>
      <c r="C35" s="113"/>
      <c r="D35" s="111"/>
      <c r="E35" s="114"/>
      <c r="F35" s="115"/>
      <c r="G35" s="115"/>
      <c r="H35" s="116"/>
    </row>
    <row r="36" spans="1:8" s="110" customFormat="1" ht="17.25">
      <c r="A36" s="111"/>
      <c r="B36" s="112"/>
      <c r="C36" s="113"/>
      <c r="D36" s="111"/>
      <c r="E36" s="114"/>
      <c r="F36" s="115"/>
      <c r="G36" s="115"/>
      <c r="H36" s="116"/>
    </row>
    <row r="37" spans="1:8" s="110" customFormat="1" ht="17.25">
      <c r="A37" s="111"/>
      <c r="B37" s="112"/>
      <c r="C37" s="113"/>
      <c r="D37" s="111"/>
      <c r="E37" s="114"/>
      <c r="F37" s="115"/>
      <c r="G37" s="115"/>
      <c r="H37" s="116"/>
    </row>
    <row r="38" spans="1:8">
      <c r="A38" s="229" t="s">
        <v>84</v>
      </c>
      <c r="B38" s="229"/>
      <c r="C38" s="229"/>
      <c r="D38" s="229"/>
      <c r="E38" s="229"/>
      <c r="F38" s="229"/>
      <c r="G38" s="230" t="s">
        <v>85</v>
      </c>
      <c r="H38" s="230"/>
    </row>
    <row r="39" spans="1:8" s="137" customFormat="1"/>
    <row r="40" spans="1:8" s="137" customFormat="1" ht="14.25">
      <c r="A40" s="138" t="s">
        <v>92</v>
      </c>
      <c r="B40" s="139">
        <v>0</v>
      </c>
      <c r="C40" s="140">
        <v>10</v>
      </c>
      <c r="D40" s="140">
        <v>20</v>
      </c>
      <c r="E40" s="140">
        <v>30</v>
      </c>
      <c r="F40" s="140">
        <v>40</v>
      </c>
      <c r="G40" s="140">
        <v>50</v>
      </c>
      <c r="H40" s="140">
        <v>60</v>
      </c>
    </row>
    <row r="41" spans="1:8" s="137" customFormat="1" ht="15.75">
      <c r="A41" s="138" t="s">
        <v>93</v>
      </c>
      <c r="B41" s="141">
        <f>$D$29*(B40/9.8)^(1/$D$28)</f>
        <v>0</v>
      </c>
      <c r="C41" s="141">
        <f t="shared" ref="C41:H41" si="0">$D$29*(C40/9.8)^(1/$D$28)</f>
        <v>232.20579484286455</v>
      </c>
      <c r="D41" s="141">
        <f t="shared" si="0"/>
        <v>335.73405178859468</v>
      </c>
      <c r="E41" s="141">
        <f t="shared" si="0"/>
        <v>416.54406897075398</v>
      </c>
      <c r="F41" s="141">
        <f t="shared" si="0"/>
        <v>485.42007147867895</v>
      </c>
      <c r="G41" s="141">
        <f t="shared" si="0"/>
        <v>546.59494271127448</v>
      </c>
      <c r="H41" s="141">
        <f t="shared" si="0"/>
        <v>602.25899236793509</v>
      </c>
    </row>
    <row r="42" spans="1:8" s="137" customFormat="1"/>
    <row r="43" spans="1:8" s="137" customFormat="1">
      <c r="A43" s="142" t="s">
        <v>86</v>
      </c>
    </row>
    <row r="44" spans="1:8" s="137" customFormat="1">
      <c r="A44" s="142"/>
    </row>
  </sheetData>
  <sheetProtection selectLockedCells="1"/>
  <mergeCells count="10">
    <mergeCell ref="D26:G26"/>
    <mergeCell ref="D27:G27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opLeftCell="A7" zoomScale="75" zoomScaleNormal="75" workbookViewId="0">
      <selection activeCell="D25" sqref="D25:G25"/>
    </sheetView>
  </sheetViews>
  <sheetFormatPr defaultRowHeight="13.5"/>
  <cols>
    <col min="1" max="2" width="18.125" style="63" customWidth="1"/>
    <col min="3" max="8" width="8.625" style="63" customWidth="1"/>
    <col min="9" max="10" width="9" style="63"/>
    <col min="11" max="11" width="5.125" style="63" bestFit="1" customWidth="1"/>
    <col min="12" max="15" width="6.125" style="63" bestFit="1" customWidth="1"/>
    <col min="16" max="256" width="9" style="63"/>
    <col min="257" max="258" width="18.125" style="63" customWidth="1"/>
    <col min="259" max="264" width="8.625" style="63" customWidth="1"/>
    <col min="265" max="266" width="9" style="63"/>
    <col min="267" max="267" width="5.125" style="63" bestFit="1" customWidth="1"/>
    <col min="268" max="271" width="6.125" style="63" bestFit="1" customWidth="1"/>
    <col min="272" max="512" width="9" style="63"/>
    <col min="513" max="514" width="18.125" style="63" customWidth="1"/>
    <col min="515" max="520" width="8.625" style="63" customWidth="1"/>
    <col min="521" max="522" width="9" style="63"/>
    <col min="523" max="523" width="5.125" style="63" bestFit="1" customWidth="1"/>
    <col min="524" max="527" width="6.125" style="63" bestFit="1" customWidth="1"/>
    <col min="528" max="768" width="9" style="63"/>
    <col min="769" max="770" width="18.125" style="63" customWidth="1"/>
    <col min="771" max="776" width="8.625" style="63" customWidth="1"/>
    <col min="777" max="778" width="9" style="63"/>
    <col min="779" max="779" width="5.125" style="63" bestFit="1" customWidth="1"/>
    <col min="780" max="783" width="6.125" style="63" bestFit="1" customWidth="1"/>
    <col min="784" max="1024" width="9" style="63"/>
    <col min="1025" max="1026" width="18.125" style="63" customWidth="1"/>
    <col min="1027" max="1032" width="8.625" style="63" customWidth="1"/>
    <col min="1033" max="1034" width="9" style="63"/>
    <col min="1035" max="1035" width="5.125" style="63" bestFit="1" customWidth="1"/>
    <col min="1036" max="1039" width="6.125" style="63" bestFit="1" customWidth="1"/>
    <col min="1040" max="1280" width="9" style="63"/>
    <col min="1281" max="1282" width="18.125" style="63" customWidth="1"/>
    <col min="1283" max="1288" width="8.625" style="63" customWidth="1"/>
    <col min="1289" max="1290" width="9" style="63"/>
    <col min="1291" max="1291" width="5.125" style="63" bestFit="1" customWidth="1"/>
    <col min="1292" max="1295" width="6.125" style="63" bestFit="1" customWidth="1"/>
    <col min="1296" max="1536" width="9" style="63"/>
    <col min="1537" max="1538" width="18.125" style="63" customWidth="1"/>
    <col min="1539" max="1544" width="8.625" style="63" customWidth="1"/>
    <col min="1545" max="1546" width="9" style="63"/>
    <col min="1547" max="1547" width="5.125" style="63" bestFit="1" customWidth="1"/>
    <col min="1548" max="1551" width="6.125" style="63" bestFit="1" customWidth="1"/>
    <col min="1552" max="1792" width="9" style="63"/>
    <col min="1793" max="1794" width="18.125" style="63" customWidth="1"/>
    <col min="1795" max="1800" width="8.625" style="63" customWidth="1"/>
    <col min="1801" max="1802" width="9" style="63"/>
    <col min="1803" max="1803" width="5.125" style="63" bestFit="1" customWidth="1"/>
    <col min="1804" max="1807" width="6.125" style="63" bestFit="1" customWidth="1"/>
    <col min="1808" max="2048" width="9" style="63"/>
    <col min="2049" max="2050" width="18.125" style="63" customWidth="1"/>
    <col min="2051" max="2056" width="8.625" style="63" customWidth="1"/>
    <col min="2057" max="2058" width="9" style="63"/>
    <col min="2059" max="2059" width="5.125" style="63" bestFit="1" customWidth="1"/>
    <col min="2060" max="2063" width="6.125" style="63" bestFit="1" customWidth="1"/>
    <col min="2064" max="2304" width="9" style="63"/>
    <col min="2305" max="2306" width="18.125" style="63" customWidth="1"/>
    <col min="2307" max="2312" width="8.625" style="63" customWidth="1"/>
    <col min="2313" max="2314" width="9" style="63"/>
    <col min="2315" max="2315" width="5.125" style="63" bestFit="1" customWidth="1"/>
    <col min="2316" max="2319" width="6.125" style="63" bestFit="1" customWidth="1"/>
    <col min="2320" max="2560" width="9" style="63"/>
    <col min="2561" max="2562" width="18.125" style="63" customWidth="1"/>
    <col min="2563" max="2568" width="8.625" style="63" customWidth="1"/>
    <col min="2569" max="2570" width="9" style="63"/>
    <col min="2571" max="2571" width="5.125" style="63" bestFit="1" customWidth="1"/>
    <col min="2572" max="2575" width="6.125" style="63" bestFit="1" customWidth="1"/>
    <col min="2576" max="2816" width="9" style="63"/>
    <col min="2817" max="2818" width="18.125" style="63" customWidth="1"/>
    <col min="2819" max="2824" width="8.625" style="63" customWidth="1"/>
    <col min="2825" max="2826" width="9" style="63"/>
    <col min="2827" max="2827" width="5.125" style="63" bestFit="1" customWidth="1"/>
    <col min="2828" max="2831" width="6.125" style="63" bestFit="1" customWidth="1"/>
    <col min="2832" max="3072" width="9" style="63"/>
    <col min="3073" max="3074" width="18.125" style="63" customWidth="1"/>
    <col min="3075" max="3080" width="8.625" style="63" customWidth="1"/>
    <col min="3081" max="3082" width="9" style="63"/>
    <col min="3083" max="3083" width="5.125" style="63" bestFit="1" customWidth="1"/>
    <col min="3084" max="3087" width="6.125" style="63" bestFit="1" customWidth="1"/>
    <col min="3088" max="3328" width="9" style="63"/>
    <col min="3329" max="3330" width="18.125" style="63" customWidth="1"/>
    <col min="3331" max="3336" width="8.625" style="63" customWidth="1"/>
    <col min="3337" max="3338" width="9" style="63"/>
    <col min="3339" max="3339" width="5.125" style="63" bestFit="1" customWidth="1"/>
    <col min="3340" max="3343" width="6.125" style="63" bestFit="1" customWidth="1"/>
    <col min="3344" max="3584" width="9" style="63"/>
    <col min="3585" max="3586" width="18.125" style="63" customWidth="1"/>
    <col min="3587" max="3592" width="8.625" style="63" customWidth="1"/>
    <col min="3593" max="3594" width="9" style="63"/>
    <col min="3595" max="3595" width="5.125" style="63" bestFit="1" customWidth="1"/>
    <col min="3596" max="3599" width="6.125" style="63" bestFit="1" customWidth="1"/>
    <col min="3600" max="3840" width="9" style="63"/>
    <col min="3841" max="3842" width="18.125" style="63" customWidth="1"/>
    <col min="3843" max="3848" width="8.625" style="63" customWidth="1"/>
    <col min="3849" max="3850" width="9" style="63"/>
    <col min="3851" max="3851" width="5.125" style="63" bestFit="1" customWidth="1"/>
    <col min="3852" max="3855" width="6.125" style="63" bestFit="1" customWidth="1"/>
    <col min="3856" max="4096" width="9" style="63"/>
    <col min="4097" max="4098" width="18.125" style="63" customWidth="1"/>
    <col min="4099" max="4104" width="8.625" style="63" customWidth="1"/>
    <col min="4105" max="4106" width="9" style="63"/>
    <col min="4107" max="4107" width="5.125" style="63" bestFit="1" customWidth="1"/>
    <col min="4108" max="4111" width="6.125" style="63" bestFit="1" customWidth="1"/>
    <col min="4112" max="4352" width="9" style="63"/>
    <col min="4353" max="4354" width="18.125" style="63" customWidth="1"/>
    <col min="4355" max="4360" width="8.625" style="63" customWidth="1"/>
    <col min="4361" max="4362" width="9" style="63"/>
    <col min="4363" max="4363" width="5.125" style="63" bestFit="1" customWidth="1"/>
    <col min="4364" max="4367" width="6.125" style="63" bestFit="1" customWidth="1"/>
    <col min="4368" max="4608" width="9" style="63"/>
    <col min="4609" max="4610" width="18.125" style="63" customWidth="1"/>
    <col min="4611" max="4616" width="8.625" style="63" customWidth="1"/>
    <col min="4617" max="4618" width="9" style="63"/>
    <col min="4619" max="4619" width="5.125" style="63" bestFit="1" customWidth="1"/>
    <col min="4620" max="4623" width="6.125" style="63" bestFit="1" customWidth="1"/>
    <col min="4624" max="4864" width="9" style="63"/>
    <col min="4865" max="4866" width="18.125" style="63" customWidth="1"/>
    <col min="4867" max="4872" width="8.625" style="63" customWidth="1"/>
    <col min="4873" max="4874" width="9" style="63"/>
    <col min="4875" max="4875" width="5.125" style="63" bestFit="1" customWidth="1"/>
    <col min="4876" max="4879" width="6.125" style="63" bestFit="1" customWidth="1"/>
    <col min="4880" max="5120" width="9" style="63"/>
    <col min="5121" max="5122" width="18.125" style="63" customWidth="1"/>
    <col min="5123" max="5128" width="8.625" style="63" customWidth="1"/>
    <col min="5129" max="5130" width="9" style="63"/>
    <col min="5131" max="5131" width="5.125" style="63" bestFit="1" customWidth="1"/>
    <col min="5132" max="5135" width="6.125" style="63" bestFit="1" customWidth="1"/>
    <col min="5136" max="5376" width="9" style="63"/>
    <col min="5377" max="5378" width="18.125" style="63" customWidth="1"/>
    <col min="5379" max="5384" width="8.625" style="63" customWidth="1"/>
    <col min="5385" max="5386" width="9" style="63"/>
    <col min="5387" max="5387" width="5.125" style="63" bestFit="1" customWidth="1"/>
    <col min="5388" max="5391" width="6.125" style="63" bestFit="1" customWidth="1"/>
    <col min="5392" max="5632" width="9" style="63"/>
    <col min="5633" max="5634" width="18.125" style="63" customWidth="1"/>
    <col min="5635" max="5640" width="8.625" style="63" customWidth="1"/>
    <col min="5641" max="5642" width="9" style="63"/>
    <col min="5643" max="5643" width="5.125" style="63" bestFit="1" customWidth="1"/>
    <col min="5644" max="5647" width="6.125" style="63" bestFit="1" customWidth="1"/>
    <col min="5648" max="5888" width="9" style="63"/>
    <col min="5889" max="5890" width="18.125" style="63" customWidth="1"/>
    <col min="5891" max="5896" width="8.625" style="63" customWidth="1"/>
    <col min="5897" max="5898" width="9" style="63"/>
    <col min="5899" max="5899" width="5.125" style="63" bestFit="1" customWidth="1"/>
    <col min="5900" max="5903" width="6.125" style="63" bestFit="1" customWidth="1"/>
    <col min="5904" max="6144" width="9" style="63"/>
    <col min="6145" max="6146" width="18.125" style="63" customWidth="1"/>
    <col min="6147" max="6152" width="8.625" style="63" customWidth="1"/>
    <col min="6153" max="6154" width="9" style="63"/>
    <col min="6155" max="6155" width="5.125" style="63" bestFit="1" customWidth="1"/>
    <col min="6156" max="6159" width="6.125" style="63" bestFit="1" customWidth="1"/>
    <col min="6160" max="6400" width="9" style="63"/>
    <col min="6401" max="6402" width="18.125" style="63" customWidth="1"/>
    <col min="6403" max="6408" width="8.625" style="63" customWidth="1"/>
    <col min="6409" max="6410" width="9" style="63"/>
    <col min="6411" max="6411" width="5.125" style="63" bestFit="1" customWidth="1"/>
    <col min="6412" max="6415" width="6.125" style="63" bestFit="1" customWidth="1"/>
    <col min="6416" max="6656" width="9" style="63"/>
    <col min="6657" max="6658" width="18.125" style="63" customWidth="1"/>
    <col min="6659" max="6664" width="8.625" style="63" customWidth="1"/>
    <col min="6665" max="6666" width="9" style="63"/>
    <col min="6667" max="6667" width="5.125" style="63" bestFit="1" customWidth="1"/>
    <col min="6668" max="6671" width="6.125" style="63" bestFit="1" customWidth="1"/>
    <col min="6672" max="6912" width="9" style="63"/>
    <col min="6913" max="6914" width="18.125" style="63" customWidth="1"/>
    <col min="6915" max="6920" width="8.625" style="63" customWidth="1"/>
    <col min="6921" max="6922" width="9" style="63"/>
    <col min="6923" max="6923" width="5.125" style="63" bestFit="1" customWidth="1"/>
    <col min="6924" max="6927" width="6.125" style="63" bestFit="1" customWidth="1"/>
    <col min="6928" max="7168" width="9" style="63"/>
    <col min="7169" max="7170" width="18.125" style="63" customWidth="1"/>
    <col min="7171" max="7176" width="8.625" style="63" customWidth="1"/>
    <col min="7177" max="7178" width="9" style="63"/>
    <col min="7179" max="7179" width="5.125" style="63" bestFit="1" customWidth="1"/>
    <col min="7180" max="7183" width="6.125" style="63" bestFit="1" customWidth="1"/>
    <col min="7184" max="7424" width="9" style="63"/>
    <col min="7425" max="7426" width="18.125" style="63" customWidth="1"/>
    <col min="7427" max="7432" width="8.625" style="63" customWidth="1"/>
    <col min="7433" max="7434" width="9" style="63"/>
    <col min="7435" max="7435" width="5.125" style="63" bestFit="1" customWidth="1"/>
    <col min="7436" max="7439" width="6.125" style="63" bestFit="1" customWidth="1"/>
    <col min="7440" max="7680" width="9" style="63"/>
    <col min="7681" max="7682" width="18.125" style="63" customWidth="1"/>
    <col min="7683" max="7688" width="8.625" style="63" customWidth="1"/>
    <col min="7689" max="7690" width="9" style="63"/>
    <col min="7691" max="7691" width="5.125" style="63" bestFit="1" customWidth="1"/>
    <col min="7692" max="7695" width="6.125" style="63" bestFit="1" customWidth="1"/>
    <col min="7696" max="7936" width="9" style="63"/>
    <col min="7937" max="7938" width="18.125" style="63" customWidth="1"/>
    <col min="7939" max="7944" width="8.625" style="63" customWidth="1"/>
    <col min="7945" max="7946" width="9" style="63"/>
    <col min="7947" max="7947" width="5.125" style="63" bestFit="1" customWidth="1"/>
    <col min="7948" max="7951" width="6.125" style="63" bestFit="1" customWidth="1"/>
    <col min="7952" max="8192" width="9" style="63"/>
    <col min="8193" max="8194" width="18.125" style="63" customWidth="1"/>
    <col min="8195" max="8200" width="8.625" style="63" customWidth="1"/>
    <col min="8201" max="8202" width="9" style="63"/>
    <col min="8203" max="8203" width="5.125" style="63" bestFit="1" customWidth="1"/>
    <col min="8204" max="8207" width="6.125" style="63" bestFit="1" customWidth="1"/>
    <col min="8208" max="8448" width="9" style="63"/>
    <col min="8449" max="8450" width="18.125" style="63" customWidth="1"/>
    <col min="8451" max="8456" width="8.625" style="63" customWidth="1"/>
    <col min="8457" max="8458" width="9" style="63"/>
    <col min="8459" max="8459" width="5.125" style="63" bestFit="1" customWidth="1"/>
    <col min="8460" max="8463" width="6.125" style="63" bestFit="1" customWidth="1"/>
    <col min="8464" max="8704" width="9" style="63"/>
    <col min="8705" max="8706" width="18.125" style="63" customWidth="1"/>
    <col min="8707" max="8712" width="8.625" style="63" customWidth="1"/>
    <col min="8713" max="8714" width="9" style="63"/>
    <col min="8715" max="8715" width="5.125" style="63" bestFit="1" customWidth="1"/>
    <col min="8716" max="8719" width="6.125" style="63" bestFit="1" customWidth="1"/>
    <col min="8720" max="8960" width="9" style="63"/>
    <col min="8961" max="8962" width="18.125" style="63" customWidth="1"/>
    <col min="8963" max="8968" width="8.625" style="63" customWidth="1"/>
    <col min="8969" max="8970" width="9" style="63"/>
    <col min="8971" max="8971" width="5.125" style="63" bestFit="1" customWidth="1"/>
    <col min="8972" max="8975" width="6.125" style="63" bestFit="1" customWidth="1"/>
    <col min="8976" max="9216" width="9" style="63"/>
    <col min="9217" max="9218" width="18.125" style="63" customWidth="1"/>
    <col min="9219" max="9224" width="8.625" style="63" customWidth="1"/>
    <col min="9225" max="9226" width="9" style="63"/>
    <col min="9227" max="9227" width="5.125" style="63" bestFit="1" customWidth="1"/>
    <col min="9228" max="9231" width="6.125" style="63" bestFit="1" customWidth="1"/>
    <col min="9232" max="9472" width="9" style="63"/>
    <col min="9473" max="9474" width="18.125" style="63" customWidth="1"/>
    <col min="9475" max="9480" width="8.625" style="63" customWidth="1"/>
    <col min="9481" max="9482" width="9" style="63"/>
    <col min="9483" max="9483" width="5.125" style="63" bestFit="1" customWidth="1"/>
    <col min="9484" max="9487" width="6.125" style="63" bestFit="1" customWidth="1"/>
    <col min="9488" max="9728" width="9" style="63"/>
    <col min="9729" max="9730" width="18.125" style="63" customWidth="1"/>
    <col min="9731" max="9736" width="8.625" style="63" customWidth="1"/>
    <col min="9737" max="9738" width="9" style="63"/>
    <col min="9739" max="9739" width="5.125" style="63" bestFit="1" customWidth="1"/>
    <col min="9740" max="9743" width="6.125" style="63" bestFit="1" customWidth="1"/>
    <col min="9744" max="9984" width="9" style="63"/>
    <col min="9985" max="9986" width="18.125" style="63" customWidth="1"/>
    <col min="9987" max="9992" width="8.625" style="63" customWidth="1"/>
    <col min="9993" max="9994" width="9" style="63"/>
    <col min="9995" max="9995" width="5.125" style="63" bestFit="1" customWidth="1"/>
    <col min="9996" max="9999" width="6.125" style="63" bestFit="1" customWidth="1"/>
    <col min="10000" max="10240" width="9" style="63"/>
    <col min="10241" max="10242" width="18.125" style="63" customWidth="1"/>
    <col min="10243" max="10248" width="8.625" style="63" customWidth="1"/>
    <col min="10249" max="10250" width="9" style="63"/>
    <col min="10251" max="10251" width="5.125" style="63" bestFit="1" customWidth="1"/>
    <col min="10252" max="10255" width="6.125" style="63" bestFit="1" customWidth="1"/>
    <col min="10256" max="10496" width="9" style="63"/>
    <col min="10497" max="10498" width="18.125" style="63" customWidth="1"/>
    <col min="10499" max="10504" width="8.625" style="63" customWidth="1"/>
    <col min="10505" max="10506" width="9" style="63"/>
    <col min="10507" max="10507" width="5.125" style="63" bestFit="1" customWidth="1"/>
    <col min="10508" max="10511" width="6.125" style="63" bestFit="1" customWidth="1"/>
    <col min="10512" max="10752" width="9" style="63"/>
    <col min="10753" max="10754" width="18.125" style="63" customWidth="1"/>
    <col min="10755" max="10760" width="8.625" style="63" customWidth="1"/>
    <col min="10761" max="10762" width="9" style="63"/>
    <col min="10763" max="10763" width="5.125" style="63" bestFit="1" customWidth="1"/>
    <col min="10764" max="10767" width="6.125" style="63" bestFit="1" customWidth="1"/>
    <col min="10768" max="11008" width="9" style="63"/>
    <col min="11009" max="11010" width="18.125" style="63" customWidth="1"/>
    <col min="11011" max="11016" width="8.625" style="63" customWidth="1"/>
    <col min="11017" max="11018" width="9" style="63"/>
    <col min="11019" max="11019" width="5.125" style="63" bestFit="1" customWidth="1"/>
    <col min="11020" max="11023" width="6.125" style="63" bestFit="1" customWidth="1"/>
    <col min="11024" max="11264" width="9" style="63"/>
    <col min="11265" max="11266" width="18.125" style="63" customWidth="1"/>
    <col min="11267" max="11272" width="8.625" style="63" customWidth="1"/>
    <col min="11273" max="11274" width="9" style="63"/>
    <col min="11275" max="11275" width="5.125" style="63" bestFit="1" customWidth="1"/>
    <col min="11276" max="11279" width="6.125" style="63" bestFit="1" customWidth="1"/>
    <col min="11280" max="11520" width="9" style="63"/>
    <col min="11521" max="11522" width="18.125" style="63" customWidth="1"/>
    <col min="11523" max="11528" width="8.625" style="63" customWidth="1"/>
    <col min="11529" max="11530" width="9" style="63"/>
    <col min="11531" max="11531" width="5.125" style="63" bestFit="1" customWidth="1"/>
    <col min="11532" max="11535" width="6.125" style="63" bestFit="1" customWidth="1"/>
    <col min="11536" max="11776" width="9" style="63"/>
    <col min="11777" max="11778" width="18.125" style="63" customWidth="1"/>
    <col min="11779" max="11784" width="8.625" style="63" customWidth="1"/>
    <col min="11785" max="11786" width="9" style="63"/>
    <col min="11787" max="11787" width="5.125" style="63" bestFit="1" customWidth="1"/>
    <col min="11788" max="11791" width="6.125" style="63" bestFit="1" customWidth="1"/>
    <col min="11792" max="12032" width="9" style="63"/>
    <col min="12033" max="12034" width="18.125" style="63" customWidth="1"/>
    <col min="12035" max="12040" width="8.625" style="63" customWidth="1"/>
    <col min="12041" max="12042" width="9" style="63"/>
    <col min="12043" max="12043" width="5.125" style="63" bestFit="1" customWidth="1"/>
    <col min="12044" max="12047" width="6.125" style="63" bestFit="1" customWidth="1"/>
    <col min="12048" max="12288" width="9" style="63"/>
    <col min="12289" max="12290" width="18.125" style="63" customWidth="1"/>
    <col min="12291" max="12296" width="8.625" style="63" customWidth="1"/>
    <col min="12297" max="12298" width="9" style="63"/>
    <col min="12299" max="12299" width="5.125" style="63" bestFit="1" customWidth="1"/>
    <col min="12300" max="12303" width="6.125" style="63" bestFit="1" customWidth="1"/>
    <col min="12304" max="12544" width="9" style="63"/>
    <col min="12545" max="12546" width="18.125" style="63" customWidth="1"/>
    <col min="12547" max="12552" width="8.625" style="63" customWidth="1"/>
    <col min="12553" max="12554" width="9" style="63"/>
    <col min="12555" max="12555" width="5.125" style="63" bestFit="1" customWidth="1"/>
    <col min="12556" max="12559" width="6.125" style="63" bestFit="1" customWidth="1"/>
    <col min="12560" max="12800" width="9" style="63"/>
    <col min="12801" max="12802" width="18.125" style="63" customWidth="1"/>
    <col min="12803" max="12808" width="8.625" style="63" customWidth="1"/>
    <col min="12809" max="12810" width="9" style="63"/>
    <col min="12811" max="12811" width="5.125" style="63" bestFit="1" customWidth="1"/>
    <col min="12812" max="12815" width="6.125" style="63" bestFit="1" customWidth="1"/>
    <col min="12816" max="13056" width="9" style="63"/>
    <col min="13057" max="13058" width="18.125" style="63" customWidth="1"/>
    <col min="13059" max="13064" width="8.625" style="63" customWidth="1"/>
    <col min="13065" max="13066" width="9" style="63"/>
    <col min="13067" max="13067" width="5.125" style="63" bestFit="1" customWidth="1"/>
    <col min="13068" max="13071" width="6.125" style="63" bestFit="1" customWidth="1"/>
    <col min="13072" max="13312" width="9" style="63"/>
    <col min="13313" max="13314" width="18.125" style="63" customWidth="1"/>
    <col min="13315" max="13320" width="8.625" style="63" customWidth="1"/>
    <col min="13321" max="13322" width="9" style="63"/>
    <col min="13323" max="13323" width="5.125" style="63" bestFit="1" customWidth="1"/>
    <col min="13324" max="13327" width="6.125" style="63" bestFit="1" customWidth="1"/>
    <col min="13328" max="13568" width="9" style="63"/>
    <col min="13569" max="13570" width="18.125" style="63" customWidth="1"/>
    <col min="13571" max="13576" width="8.625" style="63" customWidth="1"/>
    <col min="13577" max="13578" width="9" style="63"/>
    <col min="13579" max="13579" width="5.125" style="63" bestFit="1" customWidth="1"/>
    <col min="13580" max="13583" width="6.125" style="63" bestFit="1" customWidth="1"/>
    <col min="13584" max="13824" width="9" style="63"/>
    <col min="13825" max="13826" width="18.125" style="63" customWidth="1"/>
    <col min="13827" max="13832" width="8.625" style="63" customWidth="1"/>
    <col min="13833" max="13834" width="9" style="63"/>
    <col min="13835" max="13835" width="5.125" style="63" bestFit="1" customWidth="1"/>
    <col min="13836" max="13839" width="6.125" style="63" bestFit="1" customWidth="1"/>
    <col min="13840" max="14080" width="9" style="63"/>
    <col min="14081" max="14082" width="18.125" style="63" customWidth="1"/>
    <col min="14083" max="14088" width="8.625" style="63" customWidth="1"/>
    <col min="14089" max="14090" width="9" style="63"/>
    <col min="14091" max="14091" width="5.125" style="63" bestFit="1" customWidth="1"/>
    <col min="14092" max="14095" width="6.125" style="63" bestFit="1" customWidth="1"/>
    <col min="14096" max="14336" width="9" style="63"/>
    <col min="14337" max="14338" width="18.125" style="63" customWidth="1"/>
    <col min="14339" max="14344" width="8.625" style="63" customWidth="1"/>
    <col min="14345" max="14346" width="9" style="63"/>
    <col min="14347" max="14347" width="5.125" style="63" bestFit="1" customWidth="1"/>
    <col min="14348" max="14351" width="6.125" style="63" bestFit="1" customWidth="1"/>
    <col min="14352" max="14592" width="9" style="63"/>
    <col min="14593" max="14594" width="18.125" style="63" customWidth="1"/>
    <col min="14595" max="14600" width="8.625" style="63" customWidth="1"/>
    <col min="14601" max="14602" width="9" style="63"/>
    <col min="14603" max="14603" width="5.125" style="63" bestFit="1" customWidth="1"/>
    <col min="14604" max="14607" width="6.125" style="63" bestFit="1" customWidth="1"/>
    <col min="14608" max="14848" width="9" style="63"/>
    <col min="14849" max="14850" width="18.125" style="63" customWidth="1"/>
    <col min="14851" max="14856" width="8.625" style="63" customWidth="1"/>
    <col min="14857" max="14858" width="9" style="63"/>
    <col min="14859" max="14859" width="5.125" style="63" bestFit="1" customWidth="1"/>
    <col min="14860" max="14863" width="6.125" style="63" bestFit="1" customWidth="1"/>
    <col min="14864" max="15104" width="9" style="63"/>
    <col min="15105" max="15106" width="18.125" style="63" customWidth="1"/>
    <col min="15107" max="15112" width="8.625" style="63" customWidth="1"/>
    <col min="15113" max="15114" width="9" style="63"/>
    <col min="15115" max="15115" width="5.125" style="63" bestFit="1" customWidth="1"/>
    <col min="15116" max="15119" width="6.125" style="63" bestFit="1" customWidth="1"/>
    <col min="15120" max="15360" width="9" style="63"/>
    <col min="15361" max="15362" width="18.125" style="63" customWidth="1"/>
    <col min="15363" max="15368" width="8.625" style="63" customWidth="1"/>
    <col min="15369" max="15370" width="9" style="63"/>
    <col min="15371" max="15371" width="5.125" style="63" bestFit="1" customWidth="1"/>
    <col min="15372" max="15375" width="6.125" style="63" bestFit="1" customWidth="1"/>
    <col min="15376" max="15616" width="9" style="63"/>
    <col min="15617" max="15618" width="18.125" style="63" customWidth="1"/>
    <col min="15619" max="15624" width="8.625" style="63" customWidth="1"/>
    <col min="15625" max="15626" width="9" style="63"/>
    <col min="15627" max="15627" width="5.125" style="63" bestFit="1" customWidth="1"/>
    <col min="15628" max="15631" width="6.125" style="63" bestFit="1" customWidth="1"/>
    <col min="15632" max="15872" width="9" style="63"/>
    <col min="15873" max="15874" width="18.125" style="63" customWidth="1"/>
    <col min="15875" max="15880" width="8.625" style="63" customWidth="1"/>
    <col min="15881" max="15882" width="9" style="63"/>
    <col min="15883" max="15883" width="5.125" style="63" bestFit="1" customWidth="1"/>
    <col min="15884" max="15887" width="6.125" style="63" bestFit="1" customWidth="1"/>
    <col min="15888" max="16128" width="9" style="63"/>
    <col min="16129" max="16130" width="18.125" style="63" customWidth="1"/>
    <col min="16131" max="16136" width="8.625" style="63" customWidth="1"/>
    <col min="16137" max="16138" width="9" style="63"/>
    <col min="16139" max="16139" width="5.125" style="63" bestFit="1" customWidth="1"/>
    <col min="16140" max="16143" width="6.125" style="63" bestFit="1" customWidth="1"/>
    <col min="16144" max="16384" width="9" style="63"/>
  </cols>
  <sheetData>
    <row r="1" spans="1:8" ht="24.95" customHeight="1">
      <c r="A1" s="231" t="s">
        <v>91</v>
      </c>
      <c r="B1" s="231"/>
      <c r="C1" s="231"/>
      <c r="D1" s="231"/>
      <c r="E1" s="232" t="s">
        <v>51</v>
      </c>
      <c r="F1" s="232"/>
      <c r="G1" s="232"/>
      <c r="H1" s="232"/>
    </row>
    <row r="2" spans="1:8">
      <c r="A2" s="233"/>
      <c r="B2" s="233"/>
      <c r="C2" s="233"/>
      <c r="D2" s="233"/>
      <c r="E2" s="233"/>
    </row>
    <row r="3" spans="1:8">
      <c r="A3" s="233"/>
      <c r="B3" s="233"/>
      <c r="C3" s="233"/>
      <c r="D3" s="233"/>
      <c r="E3" s="233"/>
    </row>
    <row r="4" spans="1:8" ht="20.100000000000001" customHeight="1">
      <c r="A4" s="233"/>
      <c r="B4" s="233"/>
      <c r="C4" s="233"/>
      <c r="D4" s="233"/>
      <c r="E4" s="233"/>
    </row>
    <row r="5" spans="1:8" ht="20.100000000000001" customHeight="1">
      <c r="A5" s="233"/>
      <c r="B5" s="233"/>
      <c r="C5" s="233"/>
      <c r="D5" s="233"/>
      <c r="E5" s="233"/>
    </row>
    <row r="6" spans="1:8" ht="20.100000000000001" customHeight="1">
      <c r="A6" s="233"/>
      <c r="B6" s="233"/>
      <c r="C6" s="233"/>
      <c r="D6" s="233"/>
      <c r="E6" s="233"/>
    </row>
    <row r="7" spans="1:8" ht="20.100000000000001" customHeight="1">
      <c r="A7" s="233"/>
      <c r="B7" s="233"/>
      <c r="C7" s="233"/>
      <c r="D7" s="233"/>
      <c r="E7" s="233"/>
    </row>
    <row r="8" spans="1:8" ht="20.100000000000001" customHeight="1">
      <c r="A8" s="233"/>
      <c r="B8" s="233"/>
      <c r="C8" s="233"/>
      <c r="D8" s="233"/>
      <c r="E8" s="233"/>
    </row>
    <row r="9" spans="1:8" ht="20.100000000000001" customHeight="1">
      <c r="A9" s="233"/>
      <c r="B9" s="233"/>
      <c r="C9" s="233"/>
      <c r="D9" s="233"/>
      <c r="E9" s="233"/>
    </row>
    <row r="10" spans="1:8" ht="20.100000000000001" customHeight="1">
      <c r="A10" s="233"/>
      <c r="B10" s="233"/>
      <c r="C10" s="233"/>
      <c r="D10" s="233"/>
      <c r="E10" s="233"/>
    </row>
    <row r="11" spans="1:8" ht="20.100000000000001" customHeight="1">
      <c r="A11" s="233"/>
      <c r="B11" s="233"/>
      <c r="C11" s="233"/>
      <c r="D11" s="233"/>
      <c r="E11" s="233"/>
    </row>
    <row r="12" spans="1:8" ht="20.100000000000001" customHeight="1">
      <c r="A12" s="233"/>
      <c r="B12" s="233"/>
      <c r="C12" s="233"/>
      <c r="D12" s="233"/>
      <c r="E12" s="233"/>
    </row>
    <row r="13" spans="1:8" ht="20.100000000000001" customHeight="1">
      <c r="A13" s="233"/>
      <c r="B13" s="233"/>
      <c r="C13" s="233"/>
      <c r="D13" s="233"/>
      <c r="E13" s="233"/>
    </row>
    <row r="14" spans="1:8" ht="20.100000000000001" customHeight="1">
      <c r="A14" s="233"/>
      <c r="B14" s="233"/>
      <c r="C14" s="233"/>
      <c r="D14" s="233"/>
      <c r="E14" s="233"/>
    </row>
    <row r="15" spans="1:8" ht="20.100000000000001" customHeight="1">
      <c r="A15" s="233"/>
      <c r="B15" s="233"/>
      <c r="C15" s="233"/>
      <c r="D15" s="233"/>
      <c r="E15" s="233"/>
    </row>
    <row r="16" spans="1:8" ht="20.100000000000001" customHeight="1">
      <c r="A16" s="233"/>
      <c r="B16" s="233"/>
      <c r="C16" s="233"/>
      <c r="D16" s="233"/>
      <c r="E16" s="233"/>
    </row>
    <row r="17" spans="1:8" ht="20.100000000000001" customHeight="1">
      <c r="A17" s="233"/>
      <c r="B17" s="233"/>
      <c r="C17" s="233"/>
      <c r="D17" s="233"/>
      <c r="E17" s="233"/>
    </row>
    <row r="18" spans="1:8" ht="24.95" customHeight="1">
      <c r="A18" s="231" t="s">
        <v>52</v>
      </c>
      <c r="B18" s="231"/>
      <c r="C18" s="231"/>
      <c r="D18" s="231"/>
      <c r="E18" s="231"/>
      <c r="F18" s="231"/>
      <c r="G18" s="231"/>
      <c r="H18" s="231"/>
    </row>
    <row r="19" spans="1:8" ht="279.95" customHeight="1">
      <c r="A19" s="234"/>
      <c r="B19" s="235"/>
      <c r="C19" s="235"/>
      <c r="D19" s="235"/>
      <c r="E19" s="235"/>
      <c r="F19" s="235"/>
      <c r="G19" s="235"/>
      <c r="H19" s="235"/>
    </row>
    <row r="20" spans="1:8" ht="24.95" customHeight="1">
      <c r="A20" s="236" t="s">
        <v>53</v>
      </c>
      <c r="B20" s="236"/>
      <c r="C20" s="236"/>
      <c r="D20" s="236"/>
      <c r="E20" s="236"/>
      <c r="F20" s="236"/>
      <c r="G20" s="236"/>
      <c r="H20" s="236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54</v>
      </c>
      <c r="B22" s="66" t="s">
        <v>55</v>
      </c>
      <c r="C22" s="67"/>
      <c r="D22" s="68">
        <v>8.9</v>
      </c>
      <c r="E22" s="69"/>
      <c r="F22" s="69"/>
      <c r="G22" s="69"/>
      <c r="H22" s="70" t="s">
        <v>56</v>
      </c>
    </row>
    <row r="23" spans="1:8" ht="15.95" hidden="1" customHeight="1">
      <c r="A23" s="117"/>
      <c r="B23" s="118" t="s">
        <v>57</v>
      </c>
      <c r="C23" s="119"/>
      <c r="D23" s="120">
        <v>8.3000000000000007</v>
      </c>
      <c r="E23" s="121"/>
      <c r="F23" s="121"/>
      <c r="G23" s="121"/>
      <c r="H23" s="122" t="s">
        <v>58</v>
      </c>
    </row>
    <row r="24" spans="1:8" ht="15.95" customHeight="1">
      <c r="A24" s="124" t="s">
        <v>59</v>
      </c>
      <c r="B24" s="125"/>
      <c r="C24" s="126" t="s">
        <v>88</v>
      </c>
      <c r="D24" s="134">
        <v>500</v>
      </c>
      <c r="E24" s="127" t="s">
        <v>89</v>
      </c>
      <c r="F24" s="135">
        <v>700</v>
      </c>
      <c r="G24" s="128"/>
      <c r="H24" s="129"/>
    </row>
    <row r="25" spans="1:8" ht="15.95" customHeight="1">
      <c r="A25" s="105" t="s">
        <v>87</v>
      </c>
      <c r="B25" s="106"/>
      <c r="C25" s="107"/>
      <c r="D25" s="136">
        <v>27</v>
      </c>
      <c r="E25" s="109"/>
      <c r="F25" s="108"/>
      <c r="G25" s="71"/>
      <c r="H25" s="75"/>
    </row>
    <row r="26" spans="1:8" ht="15.75">
      <c r="A26" s="72" t="s">
        <v>60</v>
      </c>
      <c r="B26" s="73"/>
      <c r="C26" s="74" t="s">
        <v>61</v>
      </c>
      <c r="D26" s="227">
        <f>通気面接計算シート!D25</f>
        <v>234.84</v>
      </c>
      <c r="E26" s="227"/>
      <c r="F26" s="227"/>
      <c r="G26" s="227"/>
      <c r="H26" s="75" t="s">
        <v>62</v>
      </c>
    </row>
    <row r="27" spans="1:8" ht="15" thickBot="1">
      <c r="A27" s="130" t="s">
        <v>63</v>
      </c>
      <c r="B27" s="131"/>
      <c r="C27" s="132"/>
      <c r="D27" s="228">
        <f>通気面接計算シート!D26</f>
        <v>10.041690719004553</v>
      </c>
      <c r="E27" s="228"/>
      <c r="F27" s="228"/>
      <c r="G27" s="228"/>
      <c r="H27" s="133" t="s">
        <v>64</v>
      </c>
    </row>
    <row r="28" spans="1:8" ht="14.25" hidden="1">
      <c r="A28" s="72" t="s">
        <v>65</v>
      </c>
      <c r="B28" s="95"/>
      <c r="C28" s="74" t="s">
        <v>66</v>
      </c>
      <c r="D28" s="79">
        <v>1.88</v>
      </c>
      <c r="E28" s="80"/>
      <c r="F28" s="80"/>
      <c r="G28" s="80"/>
      <c r="H28" s="123"/>
    </row>
    <row r="29" spans="1:8" ht="15.75" hidden="1">
      <c r="A29" s="76" t="s">
        <v>67</v>
      </c>
      <c r="B29" s="77"/>
      <c r="C29" s="78" t="s">
        <v>68</v>
      </c>
      <c r="D29" s="82">
        <f>D30/0.7</f>
        <v>167.07188571428574</v>
      </c>
      <c r="E29" s="83"/>
      <c r="F29" s="83"/>
      <c r="G29" s="83"/>
      <c r="H29" s="81" t="s">
        <v>69</v>
      </c>
    </row>
    <row r="30" spans="1:8" ht="15.75" hidden="1">
      <c r="A30" s="76" t="s">
        <v>70</v>
      </c>
      <c r="B30" s="77"/>
      <c r="C30" s="78" t="s">
        <v>71</v>
      </c>
      <c r="D30" s="82">
        <f>D26*D31</f>
        <v>116.95032</v>
      </c>
      <c r="E30" s="83"/>
      <c r="F30" s="83"/>
      <c r="G30" s="83"/>
      <c r="H30" s="84" t="s">
        <v>72</v>
      </c>
    </row>
    <row r="31" spans="1:8" ht="14.25" hidden="1">
      <c r="A31" s="76" t="s">
        <v>73</v>
      </c>
      <c r="B31" s="77"/>
      <c r="C31" s="78" t="s">
        <v>74</v>
      </c>
      <c r="D31" s="85">
        <v>0.498</v>
      </c>
      <c r="E31" s="83"/>
      <c r="F31" s="83"/>
      <c r="G31" s="83"/>
      <c r="H31" s="86"/>
    </row>
    <row r="32" spans="1:8" ht="21" hidden="1" thickBot="1">
      <c r="A32" s="87" t="s">
        <v>75</v>
      </c>
      <c r="B32" s="88"/>
      <c r="C32" s="89" t="s">
        <v>76</v>
      </c>
      <c r="D32" s="90">
        <f>D29</f>
        <v>167.07188571428574</v>
      </c>
      <c r="E32" s="91" t="s">
        <v>77</v>
      </c>
      <c r="F32" s="92">
        <f>ROUND(1/D28,2)</f>
        <v>0.53</v>
      </c>
      <c r="G32" s="93"/>
      <c r="H32" s="94" t="s">
        <v>78</v>
      </c>
    </row>
    <row r="33" spans="1:8" ht="17.25" hidden="1">
      <c r="A33" s="72" t="s">
        <v>79</v>
      </c>
      <c r="B33" s="95"/>
      <c r="C33" s="74" t="s">
        <v>80</v>
      </c>
      <c r="D33" s="96">
        <f>ROUND(D29/(D26*0.0001)/3600,2)</f>
        <v>1.98</v>
      </c>
      <c r="E33" s="97"/>
      <c r="F33" s="98"/>
      <c r="G33" s="98"/>
      <c r="H33" s="99" t="s">
        <v>81</v>
      </c>
    </row>
    <row r="34" spans="1:8" ht="18" hidden="1" thickBot="1">
      <c r="A34" s="87" t="s">
        <v>82</v>
      </c>
      <c r="B34" s="88"/>
      <c r="C34" s="89" t="s">
        <v>83</v>
      </c>
      <c r="D34" s="100">
        <f>ROUND((2*9.8)/((353/(273+D23))*D33^2),2)</f>
        <v>3.98</v>
      </c>
      <c r="E34" s="101"/>
      <c r="F34" s="102"/>
      <c r="G34" s="102"/>
      <c r="H34" s="103"/>
    </row>
    <row r="35" spans="1:8" s="110" customFormat="1" ht="17.25">
      <c r="A35" s="111"/>
      <c r="B35" s="112"/>
      <c r="C35" s="113"/>
      <c r="D35" s="111"/>
      <c r="E35" s="114"/>
      <c r="F35" s="115"/>
      <c r="G35" s="115"/>
      <c r="H35" s="116"/>
    </row>
    <row r="36" spans="1:8" s="110" customFormat="1" ht="17.25">
      <c r="A36" s="111"/>
      <c r="B36" s="112"/>
      <c r="C36" s="113"/>
      <c r="D36" s="111"/>
      <c r="E36" s="114"/>
      <c r="F36" s="115"/>
      <c r="G36" s="115"/>
      <c r="H36" s="116"/>
    </row>
    <row r="37" spans="1:8" s="110" customFormat="1" ht="17.25">
      <c r="A37" s="111"/>
      <c r="B37" s="112"/>
      <c r="C37" s="113"/>
      <c r="D37" s="111"/>
      <c r="E37" s="114"/>
      <c r="F37" s="115"/>
      <c r="G37" s="115"/>
      <c r="H37" s="116"/>
    </row>
    <row r="38" spans="1:8">
      <c r="A38" s="229" t="s">
        <v>84</v>
      </c>
      <c r="B38" s="229"/>
      <c r="C38" s="229"/>
      <c r="D38" s="229"/>
      <c r="E38" s="229"/>
      <c r="F38" s="229"/>
      <c r="G38" s="230" t="s">
        <v>85</v>
      </c>
      <c r="H38" s="230"/>
    </row>
    <row r="40" spans="1:8" s="137" customFormat="1"/>
    <row r="41" spans="1:8" s="137" customFormat="1" ht="14.25">
      <c r="A41" s="138" t="s">
        <v>92</v>
      </c>
      <c r="B41" s="139">
        <v>0</v>
      </c>
      <c r="C41" s="140">
        <v>10</v>
      </c>
      <c r="D41" s="140">
        <v>20</v>
      </c>
      <c r="E41" s="140">
        <v>30</v>
      </c>
      <c r="F41" s="140">
        <v>40</v>
      </c>
      <c r="G41" s="140">
        <v>50</v>
      </c>
      <c r="H41" s="140">
        <v>60</v>
      </c>
    </row>
    <row r="42" spans="1:8" s="137" customFormat="1" ht="15.75">
      <c r="A42" s="138" t="s">
        <v>93</v>
      </c>
      <c r="B42" s="141">
        <f>$D$29*(B41/9.8)^(1/$D$28)</f>
        <v>0</v>
      </c>
      <c r="C42" s="141">
        <f t="shared" ref="C42:H42" si="0">$D$29*(C41/9.8)^(1/$D$28)</f>
        <v>168.87694170390151</v>
      </c>
      <c r="D42" s="141">
        <f t="shared" si="0"/>
        <v>244.17021948261433</v>
      </c>
      <c r="E42" s="141">
        <f t="shared" si="0"/>
        <v>302.94114106963929</v>
      </c>
      <c r="F42" s="141">
        <f t="shared" si="0"/>
        <v>353.03277925722114</v>
      </c>
      <c r="G42" s="141">
        <f t="shared" si="0"/>
        <v>397.52359469910874</v>
      </c>
      <c r="H42" s="141">
        <f t="shared" si="0"/>
        <v>438.00653990395284</v>
      </c>
    </row>
    <row r="43" spans="1:8" s="137" customFormat="1"/>
    <row r="44" spans="1:8" s="137" customFormat="1">
      <c r="A44" s="142" t="s">
        <v>86</v>
      </c>
    </row>
    <row r="45" spans="1:8">
      <c r="A45" s="104"/>
    </row>
  </sheetData>
  <sheetProtection selectLockedCells="1"/>
  <mergeCells count="10">
    <mergeCell ref="D26:G26"/>
    <mergeCell ref="D27:G27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>
      <selection activeCell="O21" sqref="O21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43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45</v>
      </c>
      <c r="C3" s="33"/>
      <c r="D3" s="33"/>
      <c r="K3" s="33"/>
    </row>
    <row r="4" spans="1:11" ht="14.25" thickBot="1">
      <c r="C4" s="33"/>
      <c r="D4" s="36" t="s">
        <v>36</v>
      </c>
      <c r="E4" s="36" t="s">
        <v>37</v>
      </c>
      <c r="F4" s="36" t="s">
        <v>38</v>
      </c>
      <c r="G4" s="36" t="s">
        <v>39</v>
      </c>
      <c r="H4" s="36" t="s">
        <v>40</v>
      </c>
      <c r="I4" s="37"/>
      <c r="K4" s="33"/>
    </row>
    <row r="5" spans="1:11" ht="14.25" thickTop="1">
      <c r="B5" s="24" t="s">
        <v>0</v>
      </c>
      <c r="C5" s="25">
        <f>'PQ-SV042 小屋裏排熱エコルーバー　四角形（温度感知式）'!D21</f>
        <v>500</v>
      </c>
      <c r="D5" s="38">
        <f>IF(C5="","",C5-88)</f>
        <v>412</v>
      </c>
      <c r="E5" s="39">
        <f>IF(C6="","",C6-117)</f>
        <v>583</v>
      </c>
      <c r="F5" s="39">
        <f>IF(C6="","",IF(INT((D5-140)/110)&lt;1,0,INT((D5-140)/110)))</f>
        <v>2</v>
      </c>
      <c r="G5" s="39">
        <f>IF(C6="","",IF((E5-63)/40&lt;1,0,(E5-63)/40))</f>
        <v>13</v>
      </c>
      <c r="H5" s="39">
        <v>9.7850000000000001</v>
      </c>
      <c r="I5" s="31"/>
      <c r="J5" s="40"/>
      <c r="K5" s="27" t="s">
        <v>21</v>
      </c>
    </row>
    <row r="6" spans="1:11" ht="14.25" thickBot="1">
      <c r="B6" s="24" t="s">
        <v>1</v>
      </c>
      <c r="C6" s="28">
        <f>'PQ-SV042 小屋裏排熱エコルーバー　四角形（温度感知式）'!G21</f>
        <v>700</v>
      </c>
      <c r="D6" s="41"/>
      <c r="E6" s="41"/>
      <c r="F6" s="41"/>
      <c r="G6" s="41"/>
      <c r="H6" s="41"/>
      <c r="I6" s="41"/>
      <c r="J6" s="42"/>
      <c r="K6" s="29" t="s">
        <v>21</v>
      </c>
    </row>
    <row r="7" spans="1:11" ht="17.25" thickTop="1" thickBot="1">
      <c r="B7" s="30" t="s">
        <v>48</v>
      </c>
      <c r="C7" s="43">
        <f>D7</f>
        <v>410.97</v>
      </c>
      <c r="D7" s="62">
        <f>IF(C5="","",IF(C5&lt;300,"製作範囲外",IF(C5&gt;850,"製作範囲外",IF(C6="","",IF(C6&lt;300,"製作範囲外",IF(C6&gt;860,"製作範囲外",IF(J7&lt;G7,J7,G7)))))))</f>
        <v>410.97</v>
      </c>
      <c r="E7" s="31"/>
      <c r="F7" s="44" t="s">
        <v>34</v>
      </c>
      <c r="G7" s="45">
        <f>IF(C6="","",((($C$5-40)*((($C$6-180)/40)+1))*0.7)/10)</f>
        <v>450.8</v>
      </c>
      <c r="H7" s="31"/>
      <c r="I7" s="31"/>
      <c r="J7" s="46">
        <f>IF(C6="","",(F5+1)*(G5+1)*H5)</f>
        <v>410.97</v>
      </c>
      <c r="K7" s="26" t="s">
        <v>44</v>
      </c>
    </row>
    <row r="8" spans="1:11" ht="14.25" thickBot="1">
      <c r="B8" s="30" t="s">
        <v>20</v>
      </c>
      <c r="C8" s="32">
        <f>D8</f>
        <v>14.050256410256413</v>
      </c>
      <c r="D8" s="61">
        <f>IF(D7="製作範囲外","製作範囲外",J8)</f>
        <v>14.050256410256413</v>
      </c>
      <c r="E8" s="33"/>
      <c r="F8" s="47" t="s">
        <v>35</v>
      </c>
      <c r="G8" s="48">
        <f>J7</f>
        <v>410.97</v>
      </c>
      <c r="H8" s="33"/>
      <c r="I8" s="33"/>
      <c r="J8" s="34">
        <f>IF(C6="","",(C7/製品面積!B18)*100)</f>
        <v>14.050256410256413</v>
      </c>
      <c r="K8" s="35" t="s">
        <v>22</v>
      </c>
    </row>
    <row r="9" spans="1:11" ht="15.75">
      <c r="B9" s="22" t="s">
        <v>49</v>
      </c>
    </row>
    <row r="11" spans="1:11">
      <c r="A11" s="22" t="s">
        <v>47</v>
      </c>
      <c r="C11" s="33"/>
      <c r="D11" s="33"/>
      <c r="K11" s="33"/>
    </row>
    <row r="12" spans="1:11" ht="14.25" thickBot="1">
      <c r="C12" s="33"/>
      <c r="D12" s="54" t="s">
        <v>23</v>
      </c>
      <c r="E12" s="36" t="s">
        <v>24</v>
      </c>
      <c r="F12" s="36" t="s">
        <v>29</v>
      </c>
      <c r="G12" s="36" t="s">
        <v>25</v>
      </c>
      <c r="H12" s="36" t="s">
        <v>26</v>
      </c>
      <c r="I12" s="36" t="s">
        <v>27</v>
      </c>
      <c r="J12" s="55"/>
      <c r="K12" s="33"/>
    </row>
    <row r="13" spans="1:11" ht="15" thickTop="1" thickBot="1">
      <c r="B13" s="24" t="s">
        <v>0</v>
      </c>
      <c r="C13" s="25">
        <f>'PQ-SV042 小屋裏エコルーバー　五角形（温度感知式）'!D24</f>
        <v>500</v>
      </c>
      <c r="D13" s="39">
        <f>IF(C13="","",C13-88)</f>
        <v>412</v>
      </c>
      <c r="E13" s="39">
        <f>IF(C14="","",ROUNDUP(I13+(H13*40)+24,0))</f>
        <v>434</v>
      </c>
      <c r="F13" s="39">
        <v>85</v>
      </c>
      <c r="G13" s="39">
        <f>IF(C15="","",IF(INT((D13-140)/110)&lt;1,0,INT((D13-140)/110)))</f>
        <v>2</v>
      </c>
      <c r="H13" s="39">
        <f>IF(C15="","",INT((C14-(((F13+12.5)-69.5)+24+ROUNDDOWN((D13/2)*TAN(RADIANS(C15)),1)+69.5+ROUNDDOWN((44/COS(RADIANS(C15))),1)))/40))</f>
        <v>10</v>
      </c>
      <c r="I13" s="39">
        <v>9.7850000000000001</v>
      </c>
      <c r="J13" s="40"/>
      <c r="K13" s="27" t="s">
        <v>21</v>
      </c>
    </row>
    <row r="14" spans="1:11" ht="14.25" thickBot="1">
      <c r="B14" s="24" t="s">
        <v>1</v>
      </c>
      <c r="C14" s="49">
        <f>'PQ-SV042 小屋裏エコルーバー　五角形（温度感知式）'!F24</f>
        <v>700</v>
      </c>
      <c r="D14" s="237" t="s">
        <v>41</v>
      </c>
      <c r="E14" s="238"/>
      <c r="F14" s="239" t="s">
        <v>42</v>
      </c>
      <c r="G14" s="240"/>
      <c r="H14" s="56"/>
      <c r="I14" s="56"/>
      <c r="J14" s="57"/>
      <c r="K14" s="50" t="s">
        <v>21</v>
      </c>
    </row>
    <row r="15" spans="1:11" ht="15" thickTop="1" thickBot="1">
      <c r="B15" s="24" t="s">
        <v>6</v>
      </c>
      <c r="C15" s="28">
        <f>'PQ-SV042 小屋裏エコルーバー　五角形（温度感知式）'!D25</f>
        <v>27</v>
      </c>
      <c r="D15" s="241">
        <f>(((C13-40)*(((C14-180)/40)+1))*0.7)/10</f>
        <v>450.8</v>
      </c>
      <c r="E15" s="242"/>
      <c r="F15" s="243">
        <f>(D15*100)/((C13*C14)/100)</f>
        <v>12.88</v>
      </c>
      <c r="G15" s="244"/>
      <c r="H15" s="51"/>
      <c r="I15" s="51"/>
      <c r="J15" s="58"/>
      <c r="K15" s="29" t="s">
        <v>28</v>
      </c>
    </row>
    <row r="16" spans="1:11" ht="17.25" thickTop="1" thickBot="1">
      <c r="B16" s="30" t="s">
        <v>48</v>
      </c>
      <c r="C16" s="43">
        <f>D16</f>
        <v>322.90500000000003</v>
      </c>
      <c r="D16" s="62">
        <f>IF(E16="製作範囲外","製作範囲外",IF(C15="","",IF(C15&lt;19,"製作範囲外",IF(C15&gt;70,"製作範囲外",E16))))</f>
        <v>322.90500000000003</v>
      </c>
      <c r="E16" s="31">
        <f>IF(C13="","",IF(C13&lt;300,"製作範囲外",IF(C13&gt;850,"製作範囲外",IF(C14="","",IF(C14&lt;300,"製作範囲外",IF(C14&gt;860,"製作範囲外",IF(J16&lt;G16,J16,G16)))))))</f>
        <v>322.90500000000003</v>
      </c>
      <c r="F16" s="44" t="s">
        <v>34</v>
      </c>
      <c r="G16" s="45">
        <f>((((C13*C14)/100)*F15/100)*(1-((((C13/2)*TAN(C15*PI()/180)*(C13/2))*100)/(C13*C14))/100))</f>
        <v>409.78320131569853</v>
      </c>
      <c r="H16" s="31"/>
      <c r="I16" s="31"/>
      <c r="J16" s="46">
        <f>IF(C15="","",(G13+1)*(H13+1)*I13)</f>
        <v>322.90500000000003</v>
      </c>
      <c r="K16" s="26" t="s">
        <v>44</v>
      </c>
    </row>
    <row r="17" spans="1:11" ht="14.25" thickBot="1">
      <c r="B17" s="30" t="s">
        <v>20</v>
      </c>
      <c r="C17" s="32">
        <f>D17</f>
        <v>12.168334181222091</v>
      </c>
      <c r="D17" s="61">
        <f>IF(D16="製作範囲外","製作範囲外",J17)</f>
        <v>12.168334181222091</v>
      </c>
      <c r="E17" s="33"/>
      <c r="F17" s="47" t="s">
        <v>35</v>
      </c>
      <c r="G17" s="48">
        <f>J16</f>
        <v>322.90500000000003</v>
      </c>
      <c r="H17" s="33"/>
      <c r="I17" s="33"/>
      <c r="J17" s="34">
        <f>IF(C15="","",(C16/製品面積!B64)*100)</f>
        <v>12.168334181222091</v>
      </c>
      <c r="K17" s="35" t="s">
        <v>22</v>
      </c>
    </row>
    <row r="18" spans="1:11" ht="15.75">
      <c r="B18" s="22" t="s">
        <v>49</v>
      </c>
    </row>
    <row r="19" spans="1:11">
      <c r="B19" s="33"/>
      <c r="C19" s="52"/>
      <c r="H19" s="33"/>
      <c r="I19" s="33"/>
      <c r="J19" s="53"/>
      <c r="K19" s="33"/>
    </row>
    <row r="20" spans="1:11">
      <c r="A20" s="22" t="s">
        <v>46</v>
      </c>
      <c r="C20" s="33"/>
      <c r="D20" s="33"/>
      <c r="K20" s="33"/>
    </row>
    <row r="21" spans="1:11" ht="14.25" thickBot="1">
      <c r="C21" s="33"/>
      <c r="D21" s="54" t="s">
        <v>23</v>
      </c>
      <c r="E21" s="36" t="s">
        <v>24</v>
      </c>
      <c r="F21" s="36" t="s">
        <v>29</v>
      </c>
      <c r="G21" s="36" t="s">
        <v>25</v>
      </c>
      <c r="H21" s="36" t="s">
        <v>26</v>
      </c>
      <c r="I21" s="36" t="s">
        <v>27</v>
      </c>
      <c r="J21" s="55"/>
      <c r="K21" s="33"/>
    </row>
    <row r="22" spans="1:11" ht="15" thickTop="1" thickBot="1">
      <c r="B22" s="24" t="s">
        <v>0</v>
      </c>
      <c r="C22" s="25">
        <f>'PQ-SV042 小屋裏エコルーバー　片流れ（温度感知式）'!D24</f>
        <v>500</v>
      </c>
      <c r="D22" s="39">
        <f>IF(C22="","",C22-88)</f>
        <v>412</v>
      </c>
      <c r="E22" s="60">
        <f>IF(C23="","",I22+(H22*40)+24)</f>
        <v>313.78500000000003</v>
      </c>
      <c r="F22" s="39">
        <v>85</v>
      </c>
      <c r="G22" s="39">
        <f>IF(C24="","",IF(INT((D22-140)/110)&lt;1,0,INT((D22-140)/110)))</f>
        <v>2</v>
      </c>
      <c r="H22" s="39">
        <f>IF(C24="","",INT((C23-(((F22+12.5)-69.5)+24+ROUNDDOWN(D22*TAN(RADIANS(C24)),1)+69.5+ROUNDDOWN((44/TAN(RADIANS((90-C24)/2))),1)))/40))</f>
        <v>7</v>
      </c>
      <c r="I22" s="39">
        <v>9.7850000000000001</v>
      </c>
      <c r="J22" s="40"/>
      <c r="K22" s="27" t="s">
        <v>21</v>
      </c>
    </row>
    <row r="23" spans="1:11" ht="14.25" thickBot="1">
      <c r="B23" s="24" t="s">
        <v>1</v>
      </c>
      <c r="C23" s="49">
        <f>'PQ-SV042 小屋裏エコルーバー　片流れ（温度感知式）'!F24</f>
        <v>700</v>
      </c>
      <c r="D23" s="237" t="s">
        <v>41</v>
      </c>
      <c r="E23" s="238"/>
      <c r="F23" s="239" t="s">
        <v>42</v>
      </c>
      <c r="G23" s="240"/>
      <c r="H23" s="56"/>
      <c r="I23" s="56"/>
      <c r="J23" s="57"/>
      <c r="K23" s="50" t="s">
        <v>21</v>
      </c>
    </row>
    <row r="24" spans="1:11" ht="15" thickTop="1" thickBot="1">
      <c r="B24" s="24" t="s">
        <v>6</v>
      </c>
      <c r="C24" s="28">
        <f>'PQ-SV042 小屋裏エコルーバー　片流れ（温度感知式）'!D25</f>
        <v>27</v>
      </c>
      <c r="D24" s="241">
        <f>(((C22-40)*(((C23-180)/40)+1))*0.7)/10</f>
        <v>450.8</v>
      </c>
      <c r="E24" s="242"/>
      <c r="F24" s="243">
        <f>(D24*100)/((C22*C23)/100)</f>
        <v>12.88</v>
      </c>
      <c r="G24" s="244"/>
      <c r="H24" s="51"/>
      <c r="I24" s="51"/>
      <c r="J24" s="58"/>
      <c r="K24" s="29" t="s">
        <v>28</v>
      </c>
    </row>
    <row r="25" spans="1:11" ht="17.25" thickTop="1" thickBot="1">
      <c r="B25" s="30" t="s">
        <v>48</v>
      </c>
      <c r="C25" s="43">
        <f>D25</f>
        <v>234.84</v>
      </c>
      <c r="D25" s="62">
        <f>IF(E25="製作範囲外","製作範囲外",IF(C24="","",IF(C24="","",IF(C24&lt;19,"製作範囲外",IF(C24&gt;50,"製作範囲外",E25)))))</f>
        <v>234.84</v>
      </c>
      <c r="E25" s="31">
        <f>IF(C22="","",IF(C22&lt;300,"製作範囲外",IF(C22&gt;850,"製作範囲外",IF(C23="","",IF(C23&lt;300,"製作範囲外",IF(C23&gt;860,"製作範囲外",IF(J25&lt;G25,J25,G25)))))))</f>
        <v>234.84</v>
      </c>
      <c r="F25" s="44" t="s">
        <v>34</v>
      </c>
      <c r="G25" s="59">
        <f>((((C22*C23)/100)*F24/100)*(1-(((C22*TAN(C24*PI()/180)*(C22/2))*100)/(C22*C23))/100))</f>
        <v>368.76640263139694</v>
      </c>
      <c r="H25" s="31"/>
      <c r="I25" s="31"/>
      <c r="J25" s="46">
        <f>IF(C24="","",(G22+1)*(H22+1)*I22)</f>
        <v>234.84</v>
      </c>
      <c r="K25" s="26" t="s">
        <v>44</v>
      </c>
    </row>
    <row r="26" spans="1:11" ht="14.25" thickBot="1">
      <c r="B26" s="30" t="s">
        <v>20</v>
      </c>
      <c r="C26" s="32">
        <f>D26</f>
        <v>10.041690719004553</v>
      </c>
      <c r="D26" s="61">
        <f>IF(D25="製作範囲外","製作範囲外",J26)</f>
        <v>10.041690719004553</v>
      </c>
      <c r="E26" s="33"/>
      <c r="F26" s="47" t="s">
        <v>35</v>
      </c>
      <c r="G26" s="48">
        <f>J25</f>
        <v>234.84</v>
      </c>
      <c r="H26" s="33"/>
      <c r="I26" s="33"/>
      <c r="J26" s="34">
        <f>IF(C24="","",(C25/製品面積!B41)*100)</f>
        <v>10.041690719004553</v>
      </c>
      <c r="K26" s="35" t="s">
        <v>22</v>
      </c>
    </row>
    <row r="27" spans="1:11" ht="15.75">
      <c r="B27" s="22" t="s">
        <v>49</v>
      </c>
    </row>
    <row r="28" spans="1:11">
      <c r="J28" s="22"/>
      <c r="K28" s="22" t="s">
        <v>50</v>
      </c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41" spans="10:10">
      <c r="J41" s="22"/>
    </row>
    <row r="42" spans="10:10">
      <c r="J42" s="22"/>
    </row>
    <row r="52" ht="9" customHeight="1"/>
    <row r="60" ht="9" customHeight="1"/>
  </sheetData>
  <mergeCells count="8">
    <mergeCell ref="D14:E14"/>
    <mergeCell ref="F14:G14"/>
    <mergeCell ref="D23:E23"/>
    <mergeCell ref="F23:G23"/>
    <mergeCell ref="D24:E24"/>
    <mergeCell ref="F24:G24"/>
    <mergeCell ref="D15:E15"/>
    <mergeCell ref="F15:G15"/>
  </mergeCells>
  <phoneticPr fontId="1"/>
  <pageMargins left="0.7" right="0.7" top="0.75" bottom="0.75" header="0.3" footer="0.3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 t="e">
        <f>通気面接計算シート!#REF!</f>
        <v>#REF!</v>
      </c>
      <c r="C4" s="10" t="e">
        <f>B4-50</f>
        <v>#REF!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 t="e">
        <f>通気面接計算シート!#REF!</f>
        <v>#REF!</v>
      </c>
      <c r="C5" s="10" t="e">
        <f>B5-50</f>
        <v>#REF!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 t="e">
        <f>G6</f>
        <v>#REF!</v>
      </c>
      <c r="C6" s="10"/>
      <c r="D6" s="2"/>
      <c r="E6" s="2"/>
      <c r="F6" s="2"/>
      <c r="G6" s="7" t="e">
        <f>IF(B5="","",(B4-50)*(B5-50)/100)</f>
        <v>#REF!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>
        <f>通気面接計算シート!C5</f>
        <v>500</v>
      </c>
      <c r="C16" s="10">
        <f>B16-50</f>
        <v>450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>
        <f>通気面接計算シート!C6</f>
        <v>700</v>
      </c>
      <c r="C17" s="10">
        <f>B17-50</f>
        <v>650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>
        <f>G18</f>
        <v>2925</v>
      </c>
      <c r="C18" s="10"/>
      <c r="D18" s="2"/>
      <c r="E18" s="2"/>
      <c r="F18" s="2"/>
      <c r="G18" s="7">
        <f>IF(B17="","",(B16-50)*(B17-50)/100)</f>
        <v>2925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30</v>
      </c>
      <c r="H22" s="9"/>
    </row>
    <row r="23" spans="1:10" s="1" customFormat="1" ht="17.25">
      <c r="A23" s="2" t="s">
        <v>0</v>
      </c>
      <c r="B23" s="7" t="e">
        <f>通気面接計算シート!#REF!</f>
        <v>#REF!</v>
      </c>
      <c r="C23" s="16" t="e">
        <f>IF(B25="","",INT(ROUNDDOWN(B23*TAN(RADIANS(B25)),1)))</f>
        <v>#REF!</v>
      </c>
      <c r="D23" s="16" t="e">
        <f>B24-C23</f>
        <v>#REF!</v>
      </c>
      <c r="E23" s="17" t="e">
        <f>((B23*C23)/2)/100</f>
        <v>#REF!</v>
      </c>
      <c r="F23" s="17" t="e">
        <f>D23*B23/100</f>
        <v>#REF!</v>
      </c>
      <c r="G23" s="16" t="e">
        <f>E23+F23</f>
        <v>#REF!</v>
      </c>
      <c r="H23" s="10" t="s">
        <v>11</v>
      </c>
    </row>
    <row r="24" spans="1:10" s="1" customFormat="1" ht="17.25">
      <c r="A24" s="2" t="s">
        <v>1</v>
      </c>
      <c r="B24" s="7" t="e">
        <f>通気面接計算シート!#REF!</f>
        <v>#REF!</v>
      </c>
      <c r="C24" s="5"/>
      <c r="D24" s="5"/>
      <c r="E24" s="4" t="e">
        <f>(((B23-50)*D26)/2)/100</f>
        <v>#REF!</v>
      </c>
      <c r="F24" s="4" t="e">
        <f>(B23-50)*E26/100</f>
        <v>#REF!</v>
      </c>
      <c r="G24" s="5" t="e">
        <f>E24+F24</f>
        <v>#REF!</v>
      </c>
      <c r="H24" s="10" t="s">
        <v>11</v>
      </c>
    </row>
    <row r="25" spans="1:10" s="1" customFormat="1" ht="17.25">
      <c r="A25" s="2" t="s">
        <v>6</v>
      </c>
      <c r="B25" s="7" t="e">
        <f>通気面接計算シート!#REF!</f>
        <v>#REF!</v>
      </c>
      <c r="C25" s="15" t="s">
        <v>32</v>
      </c>
      <c r="D25" s="15" t="s">
        <v>31</v>
      </c>
      <c r="E25" s="15" t="s">
        <v>33</v>
      </c>
      <c r="F25" s="9"/>
      <c r="G25" s="9"/>
      <c r="H25" s="10"/>
    </row>
    <row r="26" spans="1:10" s="1" customFormat="1" ht="20.25">
      <c r="A26" s="2" t="s">
        <v>2</v>
      </c>
      <c r="B26" s="12" t="e">
        <f>G24</f>
        <v>#REF!</v>
      </c>
      <c r="C26" s="14" t="e">
        <f>ROUNDDOWN(25/TAN(RADIANS((90-B25)/2)),1)</f>
        <v>#REF!</v>
      </c>
      <c r="D26" s="14" t="e">
        <f>ROUNDDOWN((B23-50)*TAN(RADIANS(B25)),1)</f>
        <v>#REF!</v>
      </c>
      <c r="E26" s="14" t="e">
        <f>ROUNDDOWN(B24-(25+C26+D26),1)</f>
        <v>#REF!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30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32</v>
      </c>
      <c r="D33" s="15" t="s">
        <v>31</v>
      </c>
      <c r="E33" s="15" t="s">
        <v>33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30</v>
      </c>
      <c r="H37" s="9"/>
    </row>
    <row r="38" spans="1:10" s="1" customFormat="1" ht="17.25">
      <c r="A38" s="2" t="s">
        <v>0</v>
      </c>
      <c r="B38" s="7">
        <f>通気面接計算シート!C22</f>
        <v>500</v>
      </c>
      <c r="C38" s="16">
        <f>IF(B40="","",INT(ROUNDDOWN(B38*TAN(RADIANS(B40)),1)))</f>
        <v>254</v>
      </c>
      <c r="D38" s="16">
        <f>B39-C38</f>
        <v>446</v>
      </c>
      <c r="E38" s="17">
        <f>((B38*C38)/2)/100</f>
        <v>635</v>
      </c>
      <c r="F38" s="17">
        <f>D38*B38/100</f>
        <v>2230</v>
      </c>
      <c r="G38" s="16">
        <f>E38+F38</f>
        <v>2865</v>
      </c>
      <c r="H38" s="10" t="s">
        <v>11</v>
      </c>
    </row>
    <row r="39" spans="1:10" s="1" customFormat="1" ht="17.25">
      <c r="A39" s="2" t="s">
        <v>1</v>
      </c>
      <c r="B39" s="7">
        <f>通気面接計算シート!C23</f>
        <v>700</v>
      </c>
      <c r="C39" s="5"/>
      <c r="D39" s="5"/>
      <c r="E39" s="4">
        <f>(((B38-50)*D41)/2)/100</f>
        <v>515.70000000000005</v>
      </c>
      <c r="F39" s="4">
        <f>(B38-50)*E41/100</f>
        <v>1822.95</v>
      </c>
      <c r="G39" s="5">
        <f>E39+F39</f>
        <v>2338.65</v>
      </c>
      <c r="H39" s="10" t="s">
        <v>11</v>
      </c>
    </row>
    <row r="40" spans="1:10" s="1" customFormat="1" ht="17.25">
      <c r="A40" s="2" t="s">
        <v>6</v>
      </c>
      <c r="B40" s="7">
        <f>通気面接計算シート!C24</f>
        <v>27</v>
      </c>
      <c r="C40" s="15" t="s">
        <v>32</v>
      </c>
      <c r="D40" s="15" t="s">
        <v>31</v>
      </c>
      <c r="E40" s="15" t="s">
        <v>33</v>
      </c>
      <c r="F40" s="9"/>
      <c r="G40" s="9"/>
      <c r="H40" s="10"/>
    </row>
    <row r="41" spans="1:10" s="1" customFormat="1" ht="20.25">
      <c r="A41" s="2" t="s">
        <v>2</v>
      </c>
      <c r="B41" s="12">
        <f>G39</f>
        <v>2338.65</v>
      </c>
      <c r="C41" s="14">
        <f>ROUNDDOWN(25/TAN(RADIANS((90-B40)/2)),1)</f>
        <v>40.700000000000003</v>
      </c>
      <c r="D41" s="14">
        <f>ROUNDDOWN((B38-50)*TAN(RADIANS(B40)),1)</f>
        <v>229.2</v>
      </c>
      <c r="E41" s="14">
        <f>ROUNDDOWN(B39-(25+C41+D41),1)</f>
        <v>405.1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30</v>
      </c>
      <c r="H45" s="9"/>
    </row>
    <row r="46" spans="1:10" s="1" customFormat="1" ht="17.25">
      <c r="A46" s="2" t="s">
        <v>0</v>
      </c>
      <c r="B46" s="7" t="e">
        <f>通気面接計算シート!#REF!</f>
        <v>#REF!</v>
      </c>
      <c r="C46" s="16" t="e">
        <f>IF(B48="","",INT(ROUNDDOWN((B46/2)*TAN(RADIANS(B48)),1)))</f>
        <v>#REF!</v>
      </c>
      <c r="D46" s="16" t="e">
        <f>B47-C46</f>
        <v>#REF!</v>
      </c>
      <c r="E46" s="17" t="e">
        <f>((B46*C46)/2)/100</f>
        <v>#REF!</v>
      </c>
      <c r="F46" s="17" t="e">
        <f>D46*B46/100</f>
        <v>#REF!</v>
      </c>
      <c r="G46" s="16" t="e">
        <f>E46+F46</f>
        <v>#REF!</v>
      </c>
      <c r="H46" s="10" t="s">
        <v>11</v>
      </c>
    </row>
    <row r="47" spans="1:10" s="1" customFormat="1" ht="17.25">
      <c r="A47" s="2" t="s">
        <v>1</v>
      </c>
      <c r="B47" s="7" t="e">
        <f>通気面接計算シート!#REF!</f>
        <v>#REF!</v>
      </c>
      <c r="C47" s="8"/>
      <c r="D47" s="8"/>
      <c r="E47" s="4" t="e">
        <f>(((B46-50)/2)*D49)/100</f>
        <v>#REF!</v>
      </c>
      <c r="F47" s="4" t="e">
        <f>(B46-50)*E49/100</f>
        <v>#REF!</v>
      </c>
      <c r="G47" s="5" t="e">
        <f>E47+F47</f>
        <v>#REF!</v>
      </c>
      <c r="H47" s="10" t="s">
        <v>11</v>
      </c>
    </row>
    <row r="48" spans="1:10" s="1" customFormat="1" ht="17.25">
      <c r="A48" s="2" t="s">
        <v>6</v>
      </c>
      <c r="B48" s="7" t="e">
        <f>通気面接計算シート!#REF!</f>
        <v>#REF!</v>
      </c>
      <c r="C48" s="15" t="s">
        <v>32</v>
      </c>
      <c r="D48" s="15" t="s">
        <v>31</v>
      </c>
      <c r="E48" s="15" t="s">
        <v>33</v>
      </c>
      <c r="F48" s="9"/>
      <c r="G48" s="9"/>
      <c r="H48" s="10"/>
    </row>
    <row r="49" spans="1:8" s="1" customFormat="1" ht="20.25">
      <c r="A49" s="2" t="s">
        <v>2</v>
      </c>
      <c r="B49" s="12" t="e">
        <f>G47</f>
        <v>#REF!</v>
      </c>
      <c r="C49" s="14" t="e">
        <f>ROUNDDOWN(25/COS(RADIANS(B48)),1)</f>
        <v>#REF!</v>
      </c>
      <c r="D49" s="14" t="e">
        <f>ROUNDDOWN(((B46-50)/2)*TAN(RADIANS(B48)),1)</f>
        <v>#REF!</v>
      </c>
      <c r="E49" s="14" t="e">
        <f>ROUNDDOWN(B47-(25+C49+D49),1)</f>
        <v>#REF!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30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32</v>
      </c>
      <c r="D56" s="15" t="s">
        <v>31</v>
      </c>
      <c r="E56" s="15" t="s">
        <v>33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30</v>
      </c>
      <c r="H60" s="9"/>
    </row>
    <row r="61" spans="1:8" s="1" customFormat="1" ht="17.25">
      <c r="A61" s="2" t="s">
        <v>0</v>
      </c>
      <c r="B61" s="7">
        <f>通気面接計算シート!C13</f>
        <v>500</v>
      </c>
      <c r="C61" s="16">
        <f>IF(B63="","",INT(ROUNDDOWN((B61/2)*TAN(RADIANS(B63)),1)))</f>
        <v>127</v>
      </c>
      <c r="D61" s="16">
        <f>B62-C61</f>
        <v>573</v>
      </c>
      <c r="E61" s="17">
        <f>((B61*C61)/2)/100</f>
        <v>317.5</v>
      </c>
      <c r="F61" s="17">
        <f>D61*B61/100</f>
        <v>2865</v>
      </c>
      <c r="G61" s="16">
        <f>E61+F61</f>
        <v>3182.5</v>
      </c>
      <c r="H61" s="10" t="s">
        <v>11</v>
      </c>
    </row>
    <row r="62" spans="1:8" s="1" customFormat="1" ht="17.25">
      <c r="A62" s="2" t="s">
        <v>1</v>
      </c>
      <c r="B62" s="7">
        <f>通気面接計算シート!C14</f>
        <v>700</v>
      </c>
      <c r="C62" s="8"/>
      <c r="D62" s="8"/>
      <c r="E62" s="4">
        <f>(((B61-50)/2)*D64)/100</f>
        <v>257.85000000000002</v>
      </c>
      <c r="F62" s="4">
        <f>(B61-50)*E64/100</f>
        <v>2395.8000000000002</v>
      </c>
      <c r="G62" s="5">
        <f>E62+F62</f>
        <v>2653.65</v>
      </c>
      <c r="H62" s="10" t="s">
        <v>11</v>
      </c>
    </row>
    <row r="63" spans="1:8" s="1" customFormat="1" ht="17.25">
      <c r="A63" s="2" t="s">
        <v>6</v>
      </c>
      <c r="B63" s="7">
        <f>通気面接計算シート!C15</f>
        <v>27</v>
      </c>
      <c r="C63" s="15" t="s">
        <v>32</v>
      </c>
      <c r="D63" s="15" t="s">
        <v>31</v>
      </c>
      <c r="E63" s="15" t="s">
        <v>33</v>
      </c>
      <c r="F63" s="9"/>
      <c r="G63" s="9"/>
      <c r="H63" s="10"/>
    </row>
    <row r="64" spans="1:8" s="1" customFormat="1" ht="20.25">
      <c r="A64" s="2" t="s">
        <v>2</v>
      </c>
      <c r="B64" s="12">
        <f>G62</f>
        <v>2653.65</v>
      </c>
      <c r="C64" s="14">
        <f>ROUNDDOWN(25/COS(RADIANS(B63)),1)</f>
        <v>28</v>
      </c>
      <c r="D64" s="14">
        <f>ROUNDDOWN(((B61-50)/2)*TAN(RADIANS(B63)),1)</f>
        <v>114.6</v>
      </c>
      <c r="E64" s="14">
        <f>ROUNDDOWN(B62-(25+C64+D64),1)</f>
        <v>532.4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小屋裏排熱エコルーバー　四角形（温度感知式）</vt:lpstr>
      <vt:lpstr>PQ-SV042 小屋裏エコルーバー　五角形（温度感知式）</vt:lpstr>
      <vt:lpstr>PQ-SV042 小屋裏エコルーバー　片流れ（温度感知式）</vt:lpstr>
      <vt:lpstr>通気面接計算シート</vt:lpstr>
      <vt:lpstr>製品面積</vt:lpstr>
      <vt:lpstr>'PQ-SV042 小屋裏排熱エコルーバー　四角形（温度感知式）'!Print_Area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ws16</cp:lastModifiedBy>
  <cp:lastPrinted>2018-05-02T06:40:14Z</cp:lastPrinted>
  <dcterms:created xsi:type="dcterms:W3CDTF">2008-10-06T05:18:15Z</dcterms:created>
  <dcterms:modified xsi:type="dcterms:W3CDTF">2022-04-26T00:09:58Z</dcterms:modified>
</cp:coreProperties>
</file>