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c9Ew77bTP0DU73TT7VW8tAoQo36SdZUONloic+d4S1qo4hiwob3HDrcWr09b5Tk/1IhkyJs3lJz9OuGcVMpQYw==" workbookSaltValue="8Mz/zi1E6jabAE9K4FCHMQ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-13" sheetId="52223" r:id="rId5"/>
  </sheets>
  <definedNames>
    <definedName name="_xlnm.Print_Area" localSheetId="4">'PQ-SV068 MV91-13'!$A$1:$H$25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D19" i="52223"/>
  <c r="F18" i="52229"/>
  <c r="F17" i="52229"/>
  <c r="F9" i="52229"/>
  <c r="E17" i="52220"/>
  <c r="J14" i="52220"/>
  <c r="J10" i="52220"/>
  <c r="D11" i="52222" l="1"/>
  <c r="D22" i="52223" s="1"/>
  <c r="D20" i="52223"/>
  <c r="D16" i="52222"/>
  <c r="D17" i="52222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D15" i="52222" l="1"/>
  <c r="D23" i="52223"/>
  <c r="G28" i="52223"/>
  <c r="C28" i="52223"/>
  <c r="D28" i="52223"/>
  <c r="E28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<sst xmlns="http://schemas.openxmlformats.org/spreadsheetml/2006/main" count="171" uniqueCount="117">
  <si>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</si>
  <si>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</si>
  <si>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</si>
  <si>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</si>
  <si>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</si>
  <si>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</si>
  <si>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</si>
  <si>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</si>
  <si>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</si>
  <si>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</si>
  <si>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</si>
  <si>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</si>
  <si>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</si>
  <si>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</si>
  <si>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</si>
  <si>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</si>
  <si>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</si>
  <si>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</si>
  <si>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</si>
  <si>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</si>
  <si>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</si>
  <si>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</si>
  <si>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</si>
  <si>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</si>
  <si>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</si>
  <si>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</si>
  <si>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</si>
  <si>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</si>
  <si>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</si>
  <si>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</si>
  <si>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</si>
  <si>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</si>
  <si>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</si>
  <si>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</si>
  <si>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</si>
  <si>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</si>
  <si>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</si>
  <si>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</si>
  <si>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</si>
  <si>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</si>
  <si>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</si>
  <si>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</si>
  <si>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</si>
  <si>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</si>
  <si>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</si>
  <si>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</si>
  <si>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</si>
  <si>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</si>
  <si>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</si>
  <si>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</si>
  <si>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</si>
  <si>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</si>
  <si>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</si>
  <si>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</si>
  <si>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</si>
  <si>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</si>
  <si>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</si>
  <si>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</si>
  <si>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</si>
  <si>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</si>
  <si>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</si>
  <si>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</si>
  <si>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</si>
  <si>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ａ＝</t>
    <phoneticPr fontId="1"/>
  </si>
  <si>
    <t>αＡ＝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</si>
  <si>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</si>
  <si>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</si>
  <si>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</si>
  <si>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</si>
  <si>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</si>
  <si>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</si>
  <si>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</si>
  <si>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</si>
  <si>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</si>
  <si>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</si>
  <si>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</si>
  <si>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</si>
  <si>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</si>
  <si>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</si>
  <si>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</si>
  <si>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</si>
  <si>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</si>
  <si>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</si>
  <si>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</si>
  <si>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</si>
  <si>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</si>
  <si>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</si>
  <si>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</si>
  <si>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</si>
  <si>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</si>
  <si>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</si>
  <si>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</si>
  <si>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</si>
  <si>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</si>
  <si>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</si>
  <si>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</si>
  <si>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</si>
  <si>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</si>
  <si>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</si>
  <si>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</si>
  <si>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</si>
  <si>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</si>
  <si>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</si>
  <si>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</si>
  <si>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</si>
  <si>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</si>
  <si>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</si>
  <si>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PQ-SV068 MV91-13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</si>
  <si>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</si>
  <si>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</si>
  <si>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</si>
  <si>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</si>
  <si>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</si>
  <si>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技術データ</t>
    <rPh sb="0" eb="2">
      <t>ギジュツ</t>
    </rPh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</si>
  <si>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</si>
  <si>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</si>
  <si>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マイティブレス　MV91-13　商品図</t>
    <rPh sb="16" eb="18">
      <t>ショウヒン</t>
    </rPh>
    <rPh sb="18" eb="19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</si>
</sst>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178" fontId="4" fillId="0" borderId="0" xfId="0" applyNumberFormat="1" applyFont="1" applyFill="1" applyAlignment="1" applyProtection="1">
      <alignment horizontal="center" vertical="center"/>
    </xf>
    <xf numFmtId="17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/>
    </xf>
    <xf numFmtId="181" fontId="24" fillId="0" borderId="0" xfId="0" applyNumberFormat="1" applyFont="1" applyFill="1" applyBorder="1" applyAlignment="1" applyProtection="1">
      <alignment vertical="center"/>
    </xf>
    <xf numFmtId="181" fontId="25" fillId="0" borderId="0" xfId="0" applyNumberFormat="1" applyFont="1" applyFill="1" applyBorder="1" applyAlignment="1" applyProtection="1">
      <alignment vertical="center"/>
    </xf>
    <xf numFmtId="178" fontId="25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178" fontId="4" fillId="0" borderId="5" xfId="0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horizontal="left" vertical="center"/>
      <protection locked="0"/>
    </xf>
    <xf numFmtId="178" fontId="4" fillId="0" borderId="9" xfId="0" applyNumberFormat="1" applyFont="1" applyFill="1" applyBorder="1" applyAlignment="1" applyProtection="1">
      <alignment horizontal="right" vertical="center"/>
      <protection hidden="1"/>
    </xf>
    <xf numFmtId="0" fontId="4" fillId="0" borderId="9" xfId="0" applyNumberFormat="1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/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indent="1"/>
    </xf>
    <xf numFmtId="0" fontId="4" fillId="0" borderId="12" xfId="0" applyFont="1" applyFill="1" applyBorder="1" applyAlignment="1" applyProtection="1">
      <alignment horizontal="left" vertical="center" indent="1"/>
    </xf>
    <xf numFmtId="0" fontId="0" fillId="0" borderId="8" xfId="0" applyFont="1" applyFill="1" applyBorder="1" applyAlignment="1" applyProtection="1">
      <alignment horizontal="left" vertical="center" indent="1"/>
    </xf>
    <xf numFmtId="0" fontId="4" fillId="0" borderId="50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right" vertical="center"/>
    </xf>
    <xf numFmtId="0" fontId="26" fillId="6" borderId="0" xfId="0" applyFont="1" applyFill="1" applyBorder="1" applyAlignment="1" applyProtection="1">
      <alignment horizontal="center" vertical="center" shrinkToFit="1"/>
    </xf>
    <xf numFmtId="0" fontId="26" fillId="6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" vertical="center"/>
    </xf>
    <xf numFmtId="0" fontId="17" fillId="0" borderId="31" xfId="0" applyNumberFormat="1" applyFont="1" applyFill="1" applyBorder="1" applyAlignment="1" applyProtection="1">
      <alignment horizontal="left" vertical="center" indent="1"/>
      <protection hidden="1"/>
    </xf>
    <xf numFmtId="0" fontId="0" fillId="0" borderId="38" xfId="0" applyFont="1" applyFill="1" applyBorder="1" applyAlignment="1" applyProtection="1">
      <alignment horizontal="left" vertical="center" wrapText="1" indent="1"/>
    </xf>
    <xf numFmtId="0" fontId="4" fillId="0" borderId="49" xfId="0" applyFont="1" applyFill="1" applyBorder="1" applyAlignment="1" applyProtection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52073490813648"/>
          <c:y val="5.5434840307882857E-2"/>
          <c:w val="0.80972598425196851"/>
          <c:h val="0.79327156754978279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MV91-13'!$B$28:$H$28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MV91-13'!$B$27:$H$27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119548976377953"/>
              <c:y val="0.9062111253187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4612997375328084E-2"/>
              <c:y val="0.233715443689196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15</xdr:row>
      <xdr:rowOff>142875</xdr:rowOff>
    </xdr:from>
    <xdr:to>
      <xdr:col>7</xdr:col>
      <xdr:colOff>304800</xdr:colOff>
      <xdr:row>15</xdr:row>
      <xdr:rowOff>3486150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152400</xdr:colOff>
      <xdr:row>3</xdr:row>
      <xdr:rowOff>0</xdr:rowOff>
    </xdr:from>
    <xdr:to>
      <xdr:col>7</xdr:col>
      <xdr:colOff>642180</xdr:colOff>
      <xdr:row>11</xdr:row>
      <xdr:rowOff>314326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2400" y="781050"/>
          <a:ext cx="6271455" cy="3057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O64"/>
  <sheetViews>
    <sheetView showGridLines="0" zoomScaleNormal="100" workbookViewId="0">
      <selection activeCell="M19" sqref="M19"/>
    </sheetView>
  </sheetViews>
  <sheetFormatPr defaultColWidth="9" defaultRowHeight="13.5" x14ac:dyDescent="0.15"/>
  <cols>
    <col min="1" max="3" width="7.625" style="17" customWidth="1"/>
    <col min="4" max="4" width="8.375" style="17" customWidth="1"/>
    <col min="5" max="6" width="7.625" style="17" customWidth="1"/>
    <col min="7" max="7" width="4.125" style="17" customWidth="1"/>
    <col min="8" max="8" width="12.75" style="17" bestFit="1" customWidth="1"/>
    <col min="9" max="9" width="4.25" style="17" customWidth="1"/>
    <col min="10" max="16" width="10.5" style="17" customWidth="1"/>
    <col min="17" max="23" width="9.125" style="17" bestFit="1" customWidth="1"/>
    <col min="24" max="32" width="9" style="17"/>
    <col min="33" max="37" width="9.125" style="17" bestFit="1" customWidth="1"/>
    <col min="38" max="38" width="15.125" style="17" bestFit="1" customWidth="1"/>
    <col min="39" max="39" width="9.125" style="17" bestFit="1" customWidth="1"/>
    <col min="40" max="16384" width="9" style="17"/>
  </cols>
  <sheetData>
    <row r="1" spans="1:20" x14ac:dyDescent="0.15">
      <c r="A1" s="17" t="s">
        <v>29</v>
      </c>
      <c r="B1" s="17" t="s">
        <v>39</v>
      </c>
      <c r="J1" s="226" t="s">
        <v>33</v>
      </c>
      <c r="K1" s="227"/>
      <c r="L1" s="152"/>
    </row>
    <row r="2" spans="1:20" x14ac:dyDescent="0.15">
      <c r="B2" s="17" t="s">
        <v>36</v>
      </c>
    </row>
    <row r="3" spans="1:20" x14ac:dyDescent="0.15">
      <c r="B3" s="17" t="s">
        <v>35</v>
      </c>
    </row>
    <row r="4" spans="1:20" x14ac:dyDescent="0.15">
      <c r="B4" s="17" t="s">
        <v>30</v>
      </c>
    </row>
    <row r="6" spans="1:20" ht="21" x14ac:dyDescent="0.2">
      <c r="A6" s="18" t="s">
        <v>37</v>
      </c>
      <c r="B6" s="19"/>
    </row>
    <row r="7" spans="1:20" x14ac:dyDescent="0.15">
      <c r="A7" s="20" t="s">
        <v>38</v>
      </c>
      <c r="B7" s="208" t="s">
        <v>105</v>
      </c>
      <c r="C7" s="209"/>
      <c r="D7" s="209"/>
      <c r="E7" s="209"/>
      <c r="F7" s="210"/>
    </row>
    <row r="8" spans="1:20" x14ac:dyDescent="0.15">
      <c r="A8" s="24" t="s">
        <v>31</v>
      </c>
      <c r="B8" s="21" t="s">
        <v>101</v>
      </c>
      <c r="C8" s="22"/>
      <c r="D8" s="22"/>
      <c r="E8" s="22"/>
      <c r="F8" s="23"/>
    </row>
    <row r="9" spans="1:20" x14ac:dyDescent="0.15">
      <c r="A9" s="24" t="s">
        <v>40</v>
      </c>
      <c r="B9" s="21" t="s">
        <v>72</v>
      </c>
      <c r="C9" s="22"/>
      <c r="D9" s="22"/>
      <c r="E9" s="22"/>
      <c r="F9" s="23"/>
    </row>
    <row r="10" spans="1:20" x14ac:dyDescent="0.15">
      <c r="A10" s="24" t="s">
        <v>60</v>
      </c>
      <c r="B10" s="211">
        <v>39381</v>
      </c>
      <c r="C10" s="212"/>
      <c r="D10" s="212"/>
      <c r="E10" s="212"/>
      <c r="F10" s="213"/>
    </row>
    <row r="11" spans="1:20" x14ac:dyDescent="0.15">
      <c r="A11" s="24" t="s">
        <v>62</v>
      </c>
      <c r="B11" s="211">
        <v>38894</v>
      </c>
      <c r="C11" s="212"/>
      <c r="D11" s="212"/>
      <c r="E11" s="212"/>
      <c r="F11" s="213"/>
    </row>
    <row r="12" spans="1:20" x14ac:dyDescent="0.15">
      <c r="N12"/>
      <c r="O12" s="145"/>
      <c r="P12" s="145"/>
      <c r="Q12" s="145"/>
      <c r="R12" s="145"/>
      <c r="T12" s="145"/>
    </row>
    <row r="13" spans="1:20" ht="21" x14ac:dyDescent="0.2">
      <c r="A13" s="18" t="s">
        <v>28</v>
      </c>
      <c r="B13" s="19"/>
      <c r="C13" s="19"/>
      <c r="N13"/>
      <c r="O13" s="145"/>
      <c r="P13" s="145"/>
      <c r="R13" s="145"/>
      <c r="T13" s="145"/>
    </row>
    <row r="14" spans="1:20" ht="23.25" customHeight="1" x14ac:dyDescent="0.15">
      <c r="A14" s="220" t="s">
        <v>34</v>
      </c>
      <c r="B14" s="221"/>
      <c r="C14" s="222">
        <v>26.1</v>
      </c>
      <c r="D14" s="223"/>
      <c r="E14" s="157"/>
      <c r="H14" s="154"/>
      <c r="I14" s="145"/>
      <c r="J14" s="145"/>
      <c r="K14" s="145"/>
      <c r="M14" s="145"/>
      <c r="T14" s="145"/>
    </row>
    <row r="15" spans="1:20" ht="27" x14ac:dyDescent="0.15">
      <c r="A15" s="215" t="s">
        <v>90</v>
      </c>
      <c r="B15" s="215"/>
      <c r="C15" s="215"/>
      <c r="D15" s="25" t="s">
        <v>15</v>
      </c>
      <c r="E15" s="25" t="s">
        <v>16</v>
      </c>
      <c r="F15" s="151" t="s">
        <v>82</v>
      </c>
      <c r="H15" s="224"/>
      <c r="I15" s="224"/>
      <c r="J15" s="158"/>
      <c r="K15" s="159"/>
      <c r="L15" s="159"/>
      <c r="M15" s="160"/>
      <c r="S15" s="145"/>
    </row>
    <row r="16" spans="1:20" x14ac:dyDescent="0.15">
      <c r="A16" s="138"/>
      <c r="B16" s="139"/>
      <c r="C16" s="140">
        <v>206.5</v>
      </c>
      <c r="D16" s="148">
        <v>2.8</v>
      </c>
      <c r="E16" s="148">
        <v>1.2</v>
      </c>
      <c r="F16" s="148">
        <v>1.9</v>
      </c>
      <c r="H16" s="228"/>
      <c r="I16" s="228"/>
      <c r="J16" s="150"/>
      <c r="K16" s="149"/>
      <c r="L16" s="149"/>
      <c r="M16" s="224"/>
      <c r="S16" s="145"/>
    </row>
    <row r="17" spans="1:41" x14ac:dyDescent="0.15">
      <c r="A17" s="138"/>
      <c r="B17" s="139"/>
      <c r="C17" s="140">
        <v>398</v>
      </c>
      <c r="D17" s="148">
        <v>8.6999999999999993</v>
      </c>
      <c r="E17" s="148">
        <v>1.3666666666666665</v>
      </c>
      <c r="F17" s="148">
        <v>5.9333333333333336</v>
      </c>
      <c r="H17" s="162"/>
      <c r="I17" s="162"/>
      <c r="J17" s="150"/>
      <c r="K17" s="149"/>
      <c r="L17" s="149"/>
      <c r="M17" s="224"/>
      <c r="S17" s="145"/>
    </row>
    <row r="18" spans="1:41" x14ac:dyDescent="0.15">
      <c r="A18" s="138"/>
      <c r="B18" s="139"/>
      <c r="C18" s="140">
        <v>398.5</v>
      </c>
      <c r="D18" s="148">
        <v>11.7</v>
      </c>
      <c r="E18" s="148">
        <v>1.45</v>
      </c>
      <c r="F18" s="148">
        <v>8</v>
      </c>
      <c r="H18" s="162"/>
      <c r="I18" s="162"/>
      <c r="J18" s="150"/>
      <c r="K18" s="149"/>
      <c r="L18" s="149"/>
      <c r="M18" s="224"/>
      <c r="S18" s="145"/>
    </row>
    <row r="19" spans="1:41" x14ac:dyDescent="0.15">
      <c r="A19" s="138"/>
      <c r="B19" s="139"/>
      <c r="C19" s="140">
        <v>494.5</v>
      </c>
      <c r="D19" s="148">
        <v>17.649999999999999</v>
      </c>
      <c r="E19" s="148">
        <v>1.55</v>
      </c>
      <c r="F19" s="148">
        <v>12.05</v>
      </c>
      <c r="H19" s="162"/>
      <c r="I19" s="162"/>
      <c r="J19" s="150"/>
      <c r="K19" s="149"/>
      <c r="L19" s="149"/>
      <c r="M19" s="224"/>
      <c r="S19" s="145"/>
    </row>
    <row r="20" spans="1:41" x14ac:dyDescent="0.15">
      <c r="A20" s="138"/>
      <c r="B20" s="139"/>
      <c r="C20" s="140">
        <v>614</v>
      </c>
      <c r="D20" s="148">
        <v>23.266666666666666</v>
      </c>
      <c r="E20" s="148">
        <v>1.6333333333333335</v>
      </c>
      <c r="F20" s="148">
        <v>15.933333333333335</v>
      </c>
      <c r="H20" s="162"/>
      <c r="I20" s="162"/>
      <c r="J20" s="150"/>
      <c r="K20" s="149"/>
      <c r="L20" s="149"/>
      <c r="M20" s="224"/>
      <c r="S20" s="145"/>
    </row>
    <row r="21" spans="1:41" x14ac:dyDescent="0.15">
      <c r="A21" s="138"/>
      <c r="B21" s="139"/>
      <c r="C21" s="140">
        <v>686.5</v>
      </c>
      <c r="D21" s="148">
        <v>28.05</v>
      </c>
      <c r="E21" s="148">
        <v>1.65</v>
      </c>
      <c r="F21" s="148">
        <v>19.149999999999999</v>
      </c>
      <c r="H21" s="162"/>
      <c r="I21" s="162"/>
      <c r="J21" s="150"/>
      <c r="K21" s="149"/>
      <c r="L21" s="149"/>
      <c r="M21" s="224"/>
      <c r="S21" s="145"/>
    </row>
    <row r="22" spans="1:41" x14ac:dyDescent="0.15">
      <c r="A22" s="138"/>
      <c r="B22" s="139"/>
      <c r="C22" s="140">
        <v>782.5</v>
      </c>
      <c r="D22" s="148">
        <v>32.049999999999997</v>
      </c>
      <c r="E22" s="148">
        <v>1.6</v>
      </c>
      <c r="F22" s="148">
        <v>21.9</v>
      </c>
      <c r="H22" s="162"/>
      <c r="I22" s="162"/>
      <c r="J22" s="150"/>
      <c r="K22" s="149"/>
      <c r="L22" s="149"/>
      <c r="M22" s="224"/>
      <c r="S22" s="145"/>
    </row>
    <row r="23" spans="1:41" x14ac:dyDescent="0.15">
      <c r="A23" s="138"/>
      <c r="B23" s="139"/>
      <c r="C23" s="140">
        <v>830.5</v>
      </c>
      <c r="D23" s="148">
        <v>35.049999999999997</v>
      </c>
      <c r="E23" s="148">
        <v>1.7</v>
      </c>
      <c r="F23" s="148">
        <v>23.95</v>
      </c>
      <c r="H23" s="162"/>
      <c r="I23" s="162"/>
      <c r="J23" s="150"/>
      <c r="K23" s="149"/>
      <c r="L23" s="149"/>
      <c r="M23" s="224"/>
      <c r="S23" s="145"/>
    </row>
    <row r="24" spans="1:41" x14ac:dyDescent="0.15">
      <c r="A24" s="138"/>
      <c r="B24" s="139"/>
      <c r="C24" s="140">
        <v>878.5</v>
      </c>
      <c r="D24" s="148">
        <v>37.35</v>
      </c>
      <c r="E24" s="148">
        <v>1.7</v>
      </c>
      <c r="F24" s="148">
        <v>25.5</v>
      </c>
      <c r="H24" s="162"/>
      <c r="I24" s="162"/>
      <c r="J24" s="150"/>
      <c r="K24" s="149"/>
      <c r="L24" s="149"/>
      <c r="M24" s="224"/>
      <c r="S24" s="145"/>
    </row>
    <row r="25" spans="1:41" x14ac:dyDescent="0.15">
      <c r="A25" s="138"/>
      <c r="B25" s="139"/>
      <c r="C25" s="140">
        <v>926.5</v>
      </c>
      <c r="D25" s="181">
        <v>40.25</v>
      </c>
      <c r="E25" s="181">
        <v>1.7</v>
      </c>
      <c r="F25" s="181">
        <v>27.5</v>
      </c>
      <c r="H25" s="162"/>
      <c r="I25" s="162"/>
      <c r="J25" s="150"/>
      <c r="K25" s="149"/>
      <c r="L25" s="149"/>
      <c r="M25" s="224"/>
      <c r="S25" s="145"/>
    </row>
    <row r="26" spans="1:41" x14ac:dyDescent="0.15">
      <c r="A26" s="138"/>
      <c r="B26" s="139"/>
      <c r="C26" s="140">
        <v>1118</v>
      </c>
      <c r="D26" s="148">
        <v>44.4</v>
      </c>
      <c r="E26" s="148">
        <v>1.7</v>
      </c>
      <c r="F26" s="148">
        <v>30.3</v>
      </c>
      <c r="H26" s="162"/>
      <c r="I26" s="162"/>
      <c r="J26" s="150"/>
      <c r="K26" s="149"/>
      <c r="L26" s="149"/>
      <c r="M26" s="224"/>
      <c r="S26" s="145"/>
    </row>
    <row r="27" spans="1:41" x14ac:dyDescent="0.15">
      <c r="A27" s="138"/>
      <c r="B27" s="139"/>
      <c r="C27" s="140">
        <v>1180</v>
      </c>
      <c r="D27" s="148">
        <v>49.8</v>
      </c>
      <c r="E27" s="148">
        <v>1.7</v>
      </c>
      <c r="F27" s="148">
        <v>33.9</v>
      </c>
      <c r="T27" s="145"/>
    </row>
    <row r="28" spans="1:41" x14ac:dyDescent="0.15">
      <c r="O28" s="153"/>
      <c r="P28" s="153"/>
    </row>
    <row r="29" spans="1:41" ht="21" x14ac:dyDescent="0.2">
      <c r="A29" s="18" t="s">
        <v>17</v>
      </c>
      <c r="B29" s="19"/>
      <c r="C29" s="19"/>
      <c r="O29" s="153"/>
      <c r="P29" s="153"/>
      <c r="AG29" s="145"/>
      <c r="AH29" s="145"/>
      <c r="AI29" s="145"/>
      <c r="AJ29" s="145"/>
      <c r="AK29" s="145"/>
      <c r="AL29" s="145"/>
      <c r="AM29" s="145"/>
      <c r="AN29" s="145"/>
      <c r="AO29" s="145"/>
    </row>
    <row r="30" spans="1:41" ht="20.100000000000001" customHeight="1" x14ac:dyDescent="0.2">
      <c r="A30" s="18"/>
      <c r="B30" s="19"/>
      <c r="C30" s="19"/>
      <c r="E30" s="26" t="s">
        <v>25</v>
      </c>
      <c r="J30" s="170"/>
      <c r="K30" s="170"/>
      <c r="L30" s="170"/>
      <c r="M30" s="170"/>
      <c r="N30" s="166"/>
      <c r="O30" s="168"/>
      <c r="P30" s="168"/>
      <c r="Q30" s="169"/>
      <c r="AG30" s="144"/>
      <c r="AH30" s="144"/>
      <c r="AI30" s="145"/>
      <c r="AJ30" s="145"/>
      <c r="AK30" s="145"/>
      <c r="AL30" s="145"/>
      <c r="AM30" s="145"/>
      <c r="AN30" s="145"/>
      <c r="AO30" s="145"/>
    </row>
    <row r="31" spans="1:41" ht="13.5" customHeight="1" x14ac:dyDescent="0.15">
      <c r="A31" s="214" t="s">
        <v>90</v>
      </c>
      <c r="B31" s="214"/>
      <c r="C31" s="214"/>
      <c r="D31" s="216" t="s">
        <v>15</v>
      </c>
      <c r="E31" s="216" t="s">
        <v>16</v>
      </c>
      <c r="F31" s="218" t="s">
        <v>83</v>
      </c>
      <c r="G31" s="27"/>
      <c r="H31" s="225" t="s">
        <v>61</v>
      </c>
      <c r="I31" s="155"/>
      <c r="J31" s="229" t="s">
        <v>86</v>
      </c>
      <c r="K31" s="230"/>
      <c r="L31" s="229" t="s">
        <v>91</v>
      </c>
      <c r="M31" s="230"/>
      <c r="N31" s="206" t="s">
        <v>85</v>
      </c>
      <c r="O31" s="207"/>
      <c r="AG31" s="144"/>
      <c r="AH31" s="144"/>
      <c r="AI31" s="145"/>
      <c r="AJ31" s="145"/>
      <c r="AK31" s="145"/>
      <c r="AL31" s="145"/>
      <c r="AM31" s="145"/>
      <c r="AN31" s="145"/>
      <c r="AO31" s="145"/>
    </row>
    <row r="32" spans="1:41" ht="15.75" customHeight="1" x14ac:dyDescent="0.15">
      <c r="A32" s="28" t="s">
        <v>26</v>
      </c>
      <c r="B32" s="29" t="s">
        <v>27</v>
      </c>
      <c r="C32" s="30" t="s">
        <v>24</v>
      </c>
      <c r="D32" s="217"/>
      <c r="E32" s="217"/>
      <c r="F32" s="219"/>
      <c r="G32" s="27"/>
      <c r="H32" s="225"/>
      <c r="I32" s="156"/>
      <c r="J32" s="172" t="s">
        <v>87</v>
      </c>
      <c r="K32" s="173" t="s">
        <v>88</v>
      </c>
      <c r="L32" s="172" t="s">
        <v>87</v>
      </c>
      <c r="M32" s="173" t="s">
        <v>88</v>
      </c>
      <c r="N32" s="171" t="s">
        <v>89</v>
      </c>
      <c r="O32" s="171" t="s">
        <v>88</v>
      </c>
      <c r="AG32" s="144"/>
      <c r="AH32" s="144"/>
      <c r="AI32" s="145"/>
      <c r="AJ32" s="145"/>
      <c r="AK32" s="145"/>
      <c r="AL32" s="145"/>
      <c r="AM32" s="145"/>
      <c r="AN32" s="145"/>
      <c r="AO32" s="145"/>
    </row>
    <row r="33" spans="1:41" x14ac:dyDescent="0.15">
      <c r="A33" s="31">
        <v>206.5</v>
      </c>
      <c r="B33" s="32">
        <f t="shared" ref="B33:B40" si="0">ROUND((C33-A33)/2+A33,0)</f>
        <v>254</v>
      </c>
      <c r="C33" s="33">
        <f>A34-0.5</f>
        <v>302</v>
      </c>
      <c r="D33" s="34">
        <f>ROUND(D16,1)</f>
        <v>2.8</v>
      </c>
      <c r="E33" s="34">
        <f>ROUND(E16,1)</f>
        <v>1.2</v>
      </c>
      <c r="F33" s="35">
        <f t="shared" ref="F33:F44" si="1">MIN(K33,M33,O33)</f>
        <v>5.9</v>
      </c>
      <c r="H33" s="36">
        <f>ROUND((((D33*2)/2.7)/3.3)*2,1)</f>
        <v>1.3</v>
      </c>
      <c r="J33" s="161">
        <v>2</v>
      </c>
      <c r="K33" s="161">
        <f>ROUND(0.3701*J33*8,1)</f>
        <v>5.9</v>
      </c>
      <c r="L33" s="179">
        <v>6</v>
      </c>
      <c r="M33" s="161">
        <f>ROUND(L33*66.94*4/100,1)</f>
        <v>16.100000000000001</v>
      </c>
      <c r="N33" s="167">
        <v>174</v>
      </c>
      <c r="O33" s="161">
        <f>ROUND(N33*8.47/100,1)</f>
        <v>14.7</v>
      </c>
      <c r="AG33" s="144"/>
      <c r="AH33" s="144"/>
      <c r="AI33" s="145"/>
      <c r="AJ33" s="145"/>
      <c r="AK33" s="145"/>
      <c r="AL33" s="145"/>
      <c r="AM33" s="145"/>
      <c r="AN33" s="145"/>
      <c r="AO33" s="145"/>
    </row>
    <row r="34" spans="1:41" x14ac:dyDescent="0.15">
      <c r="A34" s="31">
        <v>302.5</v>
      </c>
      <c r="B34" s="32">
        <f t="shared" si="0"/>
        <v>350</v>
      </c>
      <c r="C34" s="33">
        <f t="shared" ref="C34:C43" si="2">A35-0.5</f>
        <v>398</v>
      </c>
      <c r="D34" s="34">
        <f t="shared" ref="D34:E44" si="3">ROUND(D17,1)</f>
        <v>8.6999999999999993</v>
      </c>
      <c r="E34" s="34">
        <f t="shared" si="3"/>
        <v>1.4</v>
      </c>
      <c r="F34" s="35">
        <f t="shared" si="1"/>
        <v>17.8</v>
      </c>
      <c r="H34" s="36">
        <f>ROUND((((D34*2)/2.7)/3.3)*2,1)</f>
        <v>3.9</v>
      </c>
      <c r="J34" s="161">
        <v>6</v>
      </c>
      <c r="K34" s="161">
        <f t="shared" ref="K34:K44" si="4">ROUND(0.3701*J34*8,1)</f>
        <v>17.8</v>
      </c>
      <c r="L34" s="179">
        <v>9</v>
      </c>
      <c r="M34" s="161">
        <f t="shared" ref="M34:M44" si="5">ROUND(L34*66.94*4/100,1)</f>
        <v>24.1</v>
      </c>
      <c r="N34" s="167">
        <v>270</v>
      </c>
      <c r="O34" s="161">
        <f t="shared" ref="O34:O44" si="6">ROUND(N34*8.47/100,1)</f>
        <v>22.9</v>
      </c>
      <c r="AG34" s="144"/>
      <c r="AH34" s="144"/>
      <c r="AI34" s="145"/>
      <c r="AJ34" s="145"/>
      <c r="AK34" s="145"/>
      <c r="AL34" s="145"/>
      <c r="AM34" s="145"/>
      <c r="AN34" s="145"/>
      <c r="AO34" s="145"/>
    </row>
    <row r="35" spans="1:41" x14ac:dyDescent="0.15">
      <c r="A35" s="31">
        <v>398.5</v>
      </c>
      <c r="B35" s="32">
        <f t="shared" si="0"/>
        <v>446</v>
      </c>
      <c r="C35" s="33">
        <f t="shared" si="2"/>
        <v>494</v>
      </c>
      <c r="D35" s="34">
        <f t="shared" si="3"/>
        <v>11.7</v>
      </c>
      <c r="E35" s="34">
        <f t="shared" si="3"/>
        <v>1.5</v>
      </c>
      <c r="F35" s="35">
        <f t="shared" si="1"/>
        <v>29.6</v>
      </c>
      <c r="H35" s="36">
        <f t="shared" ref="H35:H40" si="7">ROUND((((D35*2)/2.7)/3.3)*2,1)</f>
        <v>5.3</v>
      </c>
      <c r="J35" s="161">
        <v>10</v>
      </c>
      <c r="K35" s="161">
        <f t="shared" si="4"/>
        <v>29.6</v>
      </c>
      <c r="L35" s="179">
        <v>12</v>
      </c>
      <c r="M35" s="161">
        <f t="shared" si="5"/>
        <v>32.1</v>
      </c>
      <c r="N35" s="167">
        <v>366</v>
      </c>
      <c r="O35" s="161">
        <f t="shared" si="6"/>
        <v>31</v>
      </c>
      <c r="AG35" s="145"/>
      <c r="AH35" s="145"/>
      <c r="AI35" s="145"/>
      <c r="AJ35" s="145"/>
      <c r="AK35" s="145"/>
      <c r="AL35" s="145"/>
      <c r="AM35" s="145"/>
      <c r="AN35" s="145"/>
      <c r="AO35" s="145"/>
    </row>
    <row r="36" spans="1:41" x14ac:dyDescent="0.15">
      <c r="A36" s="31">
        <v>494.5</v>
      </c>
      <c r="B36" s="32">
        <f t="shared" si="0"/>
        <v>542</v>
      </c>
      <c r="C36" s="33">
        <f t="shared" si="2"/>
        <v>590</v>
      </c>
      <c r="D36" s="34">
        <f t="shared" si="3"/>
        <v>17.7</v>
      </c>
      <c r="E36" s="34">
        <f t="shared" si="3"/>
        <v>1.6</v>
      </c>
      <c r="F36" s="35">
        <f t="shared" si="1"/>
        <v>39.1</v>
      </c>
      <c r="H36" s="36">
        <f t="shared" si="7"/>
        <v>7.9</v>
      </c>
      <c r="J36" s="161">
        <v>14</v>
      </c>
      <c r="K36" s="161">
        <f t="shared" si="4"/>
        <v>41.5</v>
      </c>
      <c r="L36" s="179">
        <v>16</v>
      </c>
      <c r="M36" s="161">
        <f t="shared" si="5"/>
        <v>42.8</v>
      </c>
      <c r="N36" s="167">
        <v>462</v>
      </c>
      <c r="O36" s="161">
        <f t="shared" si="6"/>
        <v>39.1</v>
      </c>
      <c r="AG36" s="145"/>
      <c r="AH36" s="145"/>
      <c r="AI36" s="145"/>
      <c r="AJ36" s="145"/>
      <c r="AK36" s="145"/>
      <c r="AL36" s="145"/>
      <c r="AM36" s="145"/>
      <c r="AN36" s="145"/>
      <c r="AO36" s="145"/>
    </row>
    <row r="37" spans="1:41" x14ac:dyDescent="0.15">
      <c r="A37" s="31">
        <v>590.5</v>
      </c>
      <c r="B37" s="32">
        <f t="shared" si="0"/>
        <v>638</v>
      </c>
      <c r="C37" s="33">
        <f t="shared" si="2"/>
        <v>686</v>
      </c>
      <c r="D37" s="34">
        <f t="shared" si="3"/>
        <v>23.3</v>
      </c>
      <c r="E37" s="34">
        <f t="shared" si="3"/>
        <v>1.6</v>
      </c>
      <c r="F37" s="35">
        <f t="shared" si="1"/>
        <v>47.3</v>
      </c>
      <c r="H37" s="36">
        <f t="shared" si="7"/>
        <v>10.5</v>
      </c>
      <c r="J37" s="161">
        <v>18</v>
      </c>
      <c r="K37" s="161">
        <f t="shared" si="4"/>
        <v>53.3</v>
      </c>
      <c r="L37" s="179">
        <v>19</v>
      </c>
      <c r="M37" s="161">
        <f t="shared" si="5"/>
        <v>50.9</v>
      </c>
      <c r="N37" s="167">
        <v>558</v>
      </c>
      <c r="O37" s="161">
        <f t="shared" si="6"/>
        <v>47.3</v>
      </c>
      <c r="AG37" s="146"/>
      <c r="AH37" s="146"/>
      <c r="AI37" s="146"/>
      <c r="AJ37" s="146"/>
      <c r="AK37" s="146"/>
      <c r="AL37" s="146"/>
      <c r="AM37" s="145"/>
      <c r="AN37" s="145"/>
      <c r="AO37" s="145"/>
    </row>
    <row r="38" spans="1:41" x14ac:dyDescent="0.15">
      <c r="A38" s="31">
        <v>686.5</v>
      </c>
      <c r="B38" s="32">
        <f t="shared" si="0"/>
        <v>734</v>
      </c>
      <c r="C38" s="33">
        <f t="shared" si="2"/>
        <v>782</v>
      </c>
      <c r="D38" s="34">
        <f t="shared" si="3"/>
        <v>28.1</v>
      </c>
      <c r="E38" s="34">
        <f t="shared" si="3"/>
        <v>1.7</v>
      </c>
      <c r="F38" s="35">
        <f t="shared" si="1"/>
        <v>55.4</v>
      </c>
      <c r="H38" s="36">
        <f t="shared" si="7"/>
        <v>12.6</v>
      </c>
      <c r="J38" s="161">
        <v>22</v>
      </c>
      <c r="K38" s="161">
        <f t="shared" si="4"/>
        <v>65.099999999999994</v>
      </c>
      <c r="L38" s="179">
        <v>22</v>
      </c>
      <c r="M38" s="161">
        <f t="shared" si="5"/>
        <v>58.9</v>
      </c>
      <c r="N38" s="167">
        <v>654</v>
      </c>
      <c r="O38" s="161">
        <f t="shared" si="6"/>
        <v>55.4</v>
      </c>
      <c r="R38" s="145"/>
      <c r="S38" s="145"/>
      <c r="T38" s="145"/>
      <c r="U38" s="145"/>
      <c r="V38" s="145"/>
      <c r="W38" s="145"/>
      <c r="AG38" s="144"/>
      <c r="AH38" s="144"/>
      <c r="AI38" s="144"/>
      <c r="AJ38" s="144"/>
      <c r="AK38" s="144"/>
      <c r="AL38" s="144"/>
      <c r="AM38" s="145"/>
      <c r="AN38" s="145"/>
      <c r="AO38" s="145"/>
    </row>
    <row r="39" spans="1:41" x14ac:dyDescent="0.15">
      <c r="A39" s="31">
        <v>782.5</v>
      </c>
      <c r="B39" s="32">
        <f t="shared" si="0"/>
        <v>806</v>
      </c>
      <c r="C39" s="33">
        <f t="shared" si="2"/>
        <v>830</v>
      </c>
      <c r="D39" s="34">
        <f t="shared" si="3"/>
        <v>32.1</v>
      </c>
      <c r="E39" s="34">
        <f t="shared" si="3"/>
        <v>1.6</v>
      </c>
      <c r="F39" s="35">
        <f t="shared" si="1"/>
        <v>63.5</v>
      </c>
      <c r="H39" s="36">
        <f t="shared" si="7"/>
        <v>14.4</v>
      </c>
      <c r="J39" s="161">
        <v>26</v>
      </c>
      <c r="K39" s="161">
        <f t="shared" si="4"/>
        <v>77</v>
      </c>
      <c r="L39" s="179">
        <v>26</v>
      </c>
      <c r="M39" s="161">
        <f t="shared" si="5"/>
        <v>69.599999999999994</v>
      </c>
      <c r="N39" s="167">
        <v>750</v>
      </c>
      <c r="O39" s="161">
        <f t="shared" si="6"/>
        <v>63.5</v>
      </c>
      <c r="R39" s="145"/>
      <c r="S39" s="145"/>
      <c r="T39" s="145"/>
      <c r="U39" s="145"/>
      <c r="V39" s="145"/>
      <c r="W39" s="145"/>
      <c r="AG39" s="144"/>
      <c r="AH39" s="144"/>
      <c r="AI39" s="144"/>
      <c r="AJ39" s="144"/>
      <c r="AK39" s="144"/>
      <c r="AL39" s="144"/>
      <c r="AM39" s="145"/>
      <c r="AN39" s="145"/>
      <c r="AO39" s="145"/>
    </row>
    <row r="40" spans="1:41" x14ac:dyDescent="0.15">
      <c r="A40" s="31">
        <v>830.5</v>
      </c>
      <c r="B40" s="32">
        <f t="shared" si="0"/>
        <v>854</v>
      </c>
      <c r="C40" s="33">
        <f t="shared" si="2"/>
        <v>878</v>
      </c>
      <c r="D40" s="34">
        <f t="shared" si="3"/>
        <v>35.1</v>
      </c>
      <c r="E40" s="34">
        <f t="shared" si="3"/>
        <v>1.7</v>
      </c>
      <c r="F40" s="35">
        <f t="shared" si="1"/>
        <v>67.599999999999994</v>
      </c>
      <c r="H40" s="36">
        <f t="shared" si="7"/>
        <v>15.8</v>
      </c>
      <c r="J40" s="161">
        <v>28</v>
      </c>
      <c r="K40" s="161">
        <f t="shared" si="4"/>
        <v>82.9</v>
      </c>
      <c r="L40" s="179">
        <v>27</v>
      </c>
      <c r="M40" s="161">
        <f t="shared" si="5"/>
        <v>72.3</v>
      </c>
      <c r="N40" s="167">
        <v>798</v>
      </c>
      <c r="O40" s="161">
        <f t="shared" si="6"/>
        <v>67.599999999999994</v>
      </c>
      <c r="R40" s="145"/>
      <c r="S40" s="145"/>
      <c r="T40" s="145"/>
      <c r="U40" s="145"/>
      <c r="V40" s="145"/>
      <c r="W40" s="145"/>
      <c r="AG40" s="144"/>
      <c r="AH40" s="144"/>
      <c r="AI40" s="144"/>
      <c r="AJ40" s="144"/>
      <c r="AK40" s="144"/>
      <c r="AL40" s="144"/>
      <c r="AM40" s="145"/>
      <c r="AN40" s="145"/>
      <c r="AO40" s="145"/>
    </row>
    <row r="41" spans="1:41" x14ac:dyDescent="0.15">
      <c r="A41" s="31">
        <v>878.5</v>
      </c>
      <c r="B41" s="32">
        <f>ROUND((C41-A41)/2+A41,0)</f>
        <v>902</v>
      </c>
      <c r="C41" s="33">
        <f t="shared" si="2"/>
        <v>926</v>
      </c>
      <c r="D41" s="34">
        <f t="shared" si="3"/>
        <v>37.4</v>
      </c>
      <c r="E41" s="34">
        <f t="shared" si="3"/>
        <v>1.7</v>
      </c>
      <c r="F41" s="35">
        <f t="shared" si="1"/>
        <v>71.7</v>
      </c>
      <c r="H41" s="36">
        <f>ROUND((((D41*2)/2.7)/3.3)*2,1)</f>
        <v>16.8</v>
      </c>
      <c r="J41" s="161">
        <v>30</v>
      </c>
      <c r="K41" s="161">
        <f t="shared" si="4"/>
        <v>88.8</v>
      </c>
      <c r="L41" s="179">
        <v>29</v>
      </c>
      <c r="M41" s="161">
        <f t="shared" si="5"/>
        <v>77.7</v>
      </c>
      <c r="N41" s="167">
        <v>846</v>
      </c>
      <c r="O41" s="161">
        <f t="shared" si="6"/>
        <v>71.7</v>
      </c>
      <c r="R41" s="145"/>
      <c r="S41" s="145"/>
      <c r="T41" s="145"/>
      <c r="U41" s="145"/>
      <c r="V41" s="145"/>
      <c r="W41" s="145"/>
      <c r="AG41" s="145"/>
      <c r="AH41" s="145"/>
      <c r="AI41" s="145"/>
      <c r="AJ41" s="145"/>
      <c r="AK41" s="145"/>
      <c r="AL41" s="145"/>
      <c r="AM41" s="145"/>
      <c r="AN41" s="145"/>
      <c r="AO41" s="145"/>
    </row>
    <row r="42" spans="1:41" x14ac:dyDescent="0.15">
      <c r="A42" s="31">
        <v>926.5</v>
      </c>
      <c r="B42" s="32">
        <f>ROUND((C42-A42)/2+A42,0)</f>
        <v>974</v>
      </c>
      <c r="C42" s="33">
        <f t="shared" si="2"/>
        <v>1022</v>
      </c>
      <c r="D42" s="34">
        <f t="shared" si="3"/>
        <v>40.299999999999997</v>
      </c>
      <c r="E42" s="34">
        <f t="shared" si="3"/>
        <v>1.7</v>
      </c>
      <c r="F42" s="35">
        <f t="shared" si="1"/>
        <v>75.7</v>
      </c>
      <c r="H42" s="36">
        <f>ROUND((((D42*2)/2.7)/3.3)*2,1)</f>
        <v>18.100000000000001</v>
      </c>
      <c r="J42" s="161">
        <v>32</v>
      </c>
      <c r="K42" s="161">
        <f t="shared" si="4"/>
        <v>94.7</v>
      </c>
      <c r="L42" s="179">
        <v>31</v>
      </c>
      <c r="M42" s="161">
        <f t="shared" si="5"/>
        <v>83</v>
      </c>
      <c r="N42" s="167">
        <v>894</v>
      </c>
      <c r="O42" s="161">
        <f t="shared" si="6"/>
        <v>75.7</v>
      </c>
      <c r="R42" s="145"/>
      <c r="S42" s="145"/>
      <c r="T42" s="145"/>
      <c r="U42" s="145"/>
      <c r="V42" s="145"/>
      <c r="W42" s="145"/>
      <c r="AG42" s="145"/>
      <c r="AH42" s="145"/>
      <c r="AI42" s="145"/>
      <c r="AJ42" s="145"/>
      <c r="AK42" s="145"/>
      <c r="AL42" s="145"/>
      <c r="AM42" s="145"/>
      <c r="AN42" s="145"/>
      <c r="AO42" s="145"/>
    </row>
    <row r="43" spans="1:41" x14ac:dyDescent="0.15">
      <c r="A43" s="31">
        <v>1022.5</v>
      </c>
      <c r="B43" s="32">
        <f>ROUND((C43-A43)/2+A43,0)</f>
        <v>1070</v>
      </c>
      <c r="C43" s="33">
        <f t="shared" si="2"/>
        <v>1118</v>
      </c>
      <c r="D43" s="34">
        <f t="shared" si="3"/>
        <v>44.4</v>
      </c>
      <c r="E43" s="34">
        <f t="shared" si="3"/>
        <v>1.7</v>
      </c>
      <c r="F43" s="35">
        <f t="shared" si="1"/>
        <v>83.9</v>
      </c>
      <c r="H43" s="36">
        <f>ROUND((((D43*2)/2.7)/3.3)*2,1)</f>
        <v>19.899999999999999</v>
      </c>
      <c r="J43" s="161">
        <v>36</v>
      </c>
      <c r="K43" s="161">
        <f t="shared" si="4"/>
        <v>106.6</v>
      </c>
      <c r="L43" s="179">
        <v>34</v>
      </c>
      <c r="M43" s="161">
        <f t="shared" si="5"/>
        <v>91</v>
      </c>
      <c r="N43" s="167">
        <v>990</v>
      </c>
      <c r="O43" s="161">
        <f t="shared" si="6"/>
        <v>83.9</v>
      </c>
      <c r="R43" s="145"/>
      <c r="S43" s="145"/>
      <c r="T43" s="145"/>
      <c r="U43" s="145"/>
      <c r="V43" s="145"/>
      <c r="W43" s="145"/>
      <c r="AG43" s="145"/>
      <c r="AH43" s="145"/>
      <c r="AI43" s="145"/>
      <c r="AJ43" s="145"/>
      <c r="AK43" s="145"/>
      <c r="AL43" s="145"/>
      <c r="AM43" s="145"/>
      <c r="AN43" s="145"/>
      <c r="AO43" s="145"/>
    </row>
    <row r="44" spans="1:41" x14ac:dyDescent="0.15">
      <c r="A44" s="31">
        <v>1118.5</v>
      </c>
      <c r="B44" s="32">
        <f>ROUND((C44-A44)/2+A44,0)</f>
        <v>1149</v>
      </c>
      <c r="C44" s="33">
        <v>1180</v>
      </c>
      <c r="D44" s="34">
        <f t="shared" si="3"/>
        <v>49.8</v>
      </c>
      <c r="E44" s="34">
        <f t="shared" si="3"/>
        <v>1.7</v>
      </c>
      <c r="F44" s="35">
        <f t="shared" si="1"/>
        <v>92</v>
      </c>
      <c r="H44" s="36">
        <f>ROUND((((D44*2)/2.7)/3.3)*2,1)</f>
        <v>22.4</v>
      </c>
      <c r="J44" s="161">
        <v>40</v>
      </c>
      <c r="K44" s="161">
        <f t="shared" si="4"/>
        <v>118.4</v>
      </c>
      <c r="L44" s="179">
        <v>37</v>
      </c>
      <c r="M44" s="161">
        <f t="shared" si="5"/>
        <v>99.1</v>
      </c>
      <c r="N44" s="167">
        <v>1086</v>
      </c>
      <c r="O44" s="161">
        <f t="shared" si="6"/>
        <v>92</v>
      </c>
      <c r="R44" s="145"/>
      <c r="S44" s="145"/>
      <c r="T44" s="145"/>
      <c r="U44" s="145"/>
      <c r="V44" s="145"/>
      <c r="W44" s="145"/>
      <c r="AG44" s="146"/>
      <c r="AH44" s="146"/>
      <c r="AI44" s="146"/>
      <c r="AJ44" s="146"/>
      <c r="AK44" s="146"/>
      <c r="AL44" s="146"/>
      <c r="AM44" s="146"/>
      <c r="AN44" s="146"/>
      <c r="AO44" s="146"/>
    </row>
    <row r="45" spans="1:41" x14ac:dyDescent="0.15">
      <c r="O45" s="144"/>
      <c r="P45" s="144"/>
      <c r="Q45" s="145"/>
      <c r="R45" s="145"/>
      <c r="S45" s="145"/>
      <c r="T45" s="145"/>
      <c r="U45" s="145"/>
      <c r="V45" s="145"/>
      <c r="W45" s="145"/>
      <c r="AG45" s="144"/>
      <c r="AH45" s="144"/>
      <c r="AI45" s="144"/>
      <c r="AJ45" s="144"/>
      <c r="AK45" s="144"/>
      <c r="AL45" s="144"/>
      <c r="AM45" s="144"/>
      <c r="AN45" s="144"/>
      <c r="AO45" s="144"/>
    </row>
    <row r="46" spans="1:41" x14ac:dyDescent="0.15">
      <c r="O46" s="145"/>
      <c r="P46" s="145"/>
      <c r="Q46" s="145"/>
      <c r="R46" s="145"/>
      <c r="S46" s="145"/>
      <c r="T46" s="145"/>
      <c r="U46" s="145"/>
      <c r="V46" s="145"/>
      <c r="W46" s="145"/>
      <c r="AG46" s="145"/>
      <c r="AH46" s="145"/>
      <c r="AI46" s="145"/>
      <c r="AJ46" s="145"/>
      <c r="AK46" s="145"/>
      <c r="AL46" s="145"/>
      <c r="AM46" s="145"/>
      <c r="AN46" s="145"/>
      <c r="AO46" s="145"/>
    </row>
    <row r="47" spans="1:41" x14ac:dyDescent="0.15">
      <c r="O47" s="146"/>
      <c r="P47" s="146"/>
      <c r="Q47" s="146"/>
      <c r="R47" s="146"/>
      <c r="S47" s="146"/>
      <c r="T47" s="146"/>
      <c r="U47" s="145"/>
      <c r="V47" s="145"/>
      <c r="W47" s="145"/>
      <c r="AG47" s="145"/>
      <c r="AH47" s="145"/>
      <c r="AI47" s="145"/>
      <c r="AJ47" s="145"/>
      <c r="AK47" s="145"/>
      <c r="AL47" s="145"/>
      <c r="AM47" s="145"/>
      <c r="AN47" s="145"/>
      <c r="AO47" s="145"/>
    </row>
    <row r="48" spans="1:41" x14ac:dyDescent="0.15">
      <c r="O48" s="144"/>
      <c r="P48" s="144"/>
      <c r="Q48" s="144"/>
      <c r="R48" s="144"/>
      <c r="S48" s="144"/>
      <c r="T48" s="144"/>
      <c r="U48" s="145"/>
      <c r="V48" s="145"/>
      <c r="W48" s="145"/>
      <c r="AG48" s="145"/>
      <c r="AH48" s="145"/>
      <c r="AI48" s="145"/>
      <c r="AJ48" s="145"/>
      <c r="AK48" s="145"/>
      <c r="AL48" s="145"/>
      <c r="AM48" s="145"/>
      <c r="AN48" s="145"/>
      <c r="AO48" s="145"/>
    </row>
    <row r="49" spans="15:41" x14ac:dyDescent="0.15">
      <c r="O49" s="144"/>
      <c r="P49" s="144"/>
      <c r="Q49" s="144"/>
      <c r="R49" s="144"/>
      <c r="S49" s="144"/>
      <c r="T49" s="144"/>
      <c r="U49" s="145"/>
      <c r="V49" s="145"/>
      <c r="W49" s="145"/>
      <c r="AG49" s="146"/>
      <c r="AH49" s="146"/>
      <c r="AI49" s="146"/>
      <c r="AJ49" s="146"/>
      <c r="AK49" s="145"/>
      <c r="AL49" s="146"/>
      <c r="AM49" s="146"/>
      <c r="AN49" s="145"/>
      <c r="AO49" s="145"/>
    </row>
    <row r="50" spans="15:41" x14ac:dyDescent="0.15">
      <c r="O50" s="144"/>
      <c r="P50" s="144"/>
      <c r="Q50" s="144"/>
      <c r="R50" s="144"/>
      <c r="S50" s="144"/>
      <c r="T50" s="144"/>
      <c r="U50" s="145"/>
      <c r="V50" s="145"/>
      <c r="W50" s="145"/>
      <c r="AG50" s="144"/>
      <c r="AH50" s="144"/>
      <c r="AI50" s="144"/>
      <c r="AJ50" s="144"/>
      <c r="AK50" s="145"/>
      <c r="AL50" s="144"/>
      <c r="AM50" s="144"/>
      <c r="AN50" s="145"/>
      <c r="AO50" s="145"/>
    </row>
    <row r="51" spans="15:41" x14ac:dyDescent="0.15">
      <c r="O51" s="145"/>
      <c r="P51" s="145"/>
      <c r="Q51" s="145"/>
      <c r="R51" s="145"/>
      <c r="S51" s="145"/>
      <c r="T51" s="145"/>
      <c r="U51" s="145"/>
      <c r="V51" s="145"/>
      <c r="W51" s="145"/>
      <c r="AG51" s="144"/>
      <c r="AH51" s="144"/>
      <c r="AI51" s="144"/>
      <c r="AJ51" s="144"/>
      <c r="AK51" s="145"/>
      <c r="AL51" s="144"/>
      <c r="AM51" s="144"/>
      <c r="AN51" s="145"/>
      <c r="AO51" s="145"/>
    </row>
    <row r="52" spans="15:41" x14ac:dyDescent="0.15">
      <c r="O52" s="146"/>
      <c r="P52" s="146"/>
      <c r="Q52" s="146"/>
      <c r="R52" s="146"/>
      <c r="S52" s="146"/>
      <c r="T52" s="146"/>
      <c r="U52" s="146"/>
      <c r="V52" s="146"/>
      <c r="W52" s="146"/>
      <c r="AG52" s="144"/>
      <c r="AH52" s="144"/>
      <c r="AI52" s="144"/>
      <c r="AJ52" s="144"/>
      <c r="AK52" s="145"/>
      <c r="AL52" s="144"/>
      <c r="AM52" s="144"/>
      <c r="AN52" s="145"/>
      <c r="AO52" s="145"/>
    </row>
    <row r="53" spans="15:41" x14ac:dyDescent="0.15">
      <c r="O53" s="144"/>
      <c r="P53" s="144"/>
      <c r="Q53" s="144"/>
      <c r="R53" s="144"/>
      <c r="S53" s="144"/>
      <c r="T53" s="144"/>
      <c r="U53" s="144"/>
      <c r="V53" s="144"/>
      <c r="W53" s="144"/>
      <c r="AG53" s="144"/>
      <c r="AH53" s="144"/>
      <c r="AI53" s="144"/>
      <c r="AJ53" s="144"/>
      <c r="AK53" s="145"/>
      <c r="AL53" s="144"/>
      <c r="AM53" s="144"/>
      <c r="AN53" s="145"/>
      <c r="AO53" s="145"/>
    </row>
    <row r="54" spans="15:41" x14ac:dyDescent="0.15">
      <c r="O54" s="144"/>
      <c r="P54" s="144"/>
      <c r="Q54" s="144"/>
      <c r="R54" s="144"/>
      <c r="S54" s="144"/>
      <c r="T54" s="144"/>
      <c r="U54" s="144"/>
      <c r="V54" s="144"/>
      <c r="W54" s="144"/>
    </row>
    <row r="55" spans="15:41" x14ac:dyDescent="0.15">
      <c r="O55" s="145"/>
      <c r="P55" s="145"/>
      <c r="Q55" s="145"/>
      <c r="R55" s="145"/>
      <c r="S55" s="145"/>
      <c r="T55" s="145"/>
      <c r="U55" s="145"/>
      <c r="V55" s="145"/>
      <c r="W55" s="145"/>
    </row>
    <row r="56" spans="15:41" x14ac:dyDescent="0.15">
      <c r="O56" s="145"/>
      <c r="P56" s="145"/>
      <c r="Q56" s="145"/>
      <c r="R56" s="145"/>
      <c r="S56" s="145"/>
      <c r="T56" s="145"/>
      <c r="U56" s="145"/>
      <c r="V56" s="145"/>
      <c r="W56" s="145"/>
    </row>
    <row r="57" spans="15:41" x14ac:dyDescent="0.15">
      <c r="O57" s="145"/>
      <c r="P57" s="145"/>
      <c r="Q57" s="145"/>
      <c r="R57" s="145"/>
      <c r="S57" s="145"/>
      <c r="T57" s="145"/>
      <c r="U57" s="145"/>
      <c r="V57" s="145"/>
      <c r="W57" s="145"/>
    </row>
    <row r="58" spans="15:41" x14ac:dyDescent="0.15">
      <c r="O58" s="145"/>
      <c r="P58" s="145"/>
      <c r="Q58" s="145"/>
      <c r="R58" s="145"/>
      <c r="S58" s="145"/>
      <c r="T58" s="145"/>
      <c r="U58" s="145"/>
      <c r="V58" s="145"/>
      <c r="W58" s="145"/>
    </row>
    <row r="59" spans="15:41" x14ac:dyDescent="0.15">
      <c r="O59" s="145"/>
      <c r="P59" s="145"/>
      <c r="Q59" s="145"/>
      <c r="R59" s="145"/>
      <c r="S59" s="145"/>
      <c r="T59" s="145"/>
      <c r="U59" s="145"/>
      <c r="V59" s="145"/>
      <c r="W59" s="145"/>
    </row>
    <row r="60" spans="15:41" x14ac:dyDescent="0.15">
      <c r="O60" s="146"/>
      <c r="P60" s="146"/>
      <c r="Q60" s="146"/>
      <c r="R60" s="146"/>
      <c r="S60" s="145"/>
      <c r="T60" s="146"/>
      <c r="U60" s="146"/>
      <c r="V60" s="145"/>
      <c r="W60" s="145"/>
    </row>
    <row r="61" spans="15:41" x14ac:dyDescent="0.15">
      <c r="O61" s="144"/>
      <c r="P61" s="144"/>
      <c r="Q61" s="144"/>
      <c r="R61" s="144"/>
      <c r="S61" s="145"/>
      <c r="T61" s="144"/>
      <c r="U61" s="144"/>
      <c r="V61" s="145"/>
      <c r="W61" s="145"/>
    </row>
    <row r="62" spans="15:41" x14ac:dyDescent="0.15">
      <c r="O62" s="144"/>
      <c r="P62" s="144"/>
      <c r="Q62" s="144"/>
      <c r="R62" s="144"/>
      <c r="S62" s="145"/>
      <c r="T62" s="144"/>
      <c r="U62" s="144"/>
      <c r="V62" s="145"/>
      <c r="W62" s="145"/>
    </row>
    <row r="63" spans="15:41" x14ac:dyDescent="0.15">
      <c r="O63" s="144"/>
      <c r="P63" s="144"/>
      <c r="Q63" s="144"/>
      <c r="R63" s="144"/>
      <c r="S63" s="145"/>
      <c r="T63" s="144"/>
      <c r="U63" s="144"/>
      <c r="V63" s="145"/>
      <c r="W63" s="145"/>
    </row>
    <row r="64" spans="15:41" x14ac:dyDescent="0.15">
      <c r="O64" s="144"/>
      <c r="P64" s="144"/>
      <c r="Q64" s="144"/>
      <c r="R64" s="144"/>
      <c r="S64" s="145"/>
      <c r="T64" s="144"/>
      <c r="U64" s="144"/>
      <c r="V64" s="145"/>
      <c r="W64" s="145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L31"/>
  <sheetViews>
    <sheetView showGridLines="0" zoomScale="75" workbookViewId="0">
      <selection activeCell="M19" sqref="M19"/>
    </sheetView>
  </sheetViews>
  <sheetFormatPr defaultColWidth="9" defaultRowHeight="13.5" x14ac:dyDescent="0.15"/>
  <cols>
    <col min="1" max="1" width="3.625" style="38" customWidth="1"/>
    <col min="2" max="9" width="8.125" style="38" customWidth="1"/>
    <col min="10" max="10" width="6.625" style="38" customWidth="1"/>
    <col min="11" max="11" width="11.625" style="38" customWidth="1"/>
    <col min="12" max="12" width="5.625" style="38" customWidth="1"/>
    <col min="13" max="13" width="4.625" style="38" customWidth="1"/>
    <col min="14" max="16384" width="9" style="38"/>
  </cols>
  <sheetData>
    <row r="1" spans="1:12" ht="21.95" customHeight="1" x14ac:dyDescent="0.15">
      <c r="A1" s="37" t="s">
        <v>18</v>
      </c>
      <c r="B1" s="37"/>
      <c r="C1" s="37"/>
      <c r="J1" s="121">
        <f>測定データ!B10</f>
        <v>39381</v>
      </c>
      <c r="K1" s="40"/>
      <c r="L1" s="40"/>
    </row>
    <row r="2" spans="1:12" s="41" customFormat="1" ht="21.95" customHeight="1" x14ac:dyDescent="0.15"/>
    <row r="3" spans="1:12" s="41" customFormat="1" ht="21.95" customHeight="1" x14ac:dyDescent="0.15">
      <c r="A3" s="41" t="s">
        <v>19</v>
      </c>
      <c r="C3" s="41" t="str">
        <f>測定データ!B7</f>
        <v>トステム㈱殿　PROSE70 17開口用換気框　フィルター付</v>
      </c>
      <c r="J3" s="39" t="s">
        <v>32</v>
      </c>
      <c r="K3" s="39"/>
      <c r="L3" s="39"/>
    </row>
    <row r="4" spans="1:12" s="41" customFormat="1" ht="21.95" customHeight="1" x14ac:dyDescent="0.15">
      <c r="A4" s="41" t="s">
        <v>31</v>
      </c>
      <c r="C4" s="41" t="str">
        <f>測定データ!B8</f>
        <v>SE70F-17</v>
      </c>
      <c r="G4" s="41" t="s">
        <v>41</v>
      </c>
      <c r="J4" s="39"/>
      <c r="K4" s="39"/>
      <c r="L4" s="39"/>
    </row>
    <row r="5" spans="1:12" s="41" customFormat="1" ht="21.95" customHeight="1" x14ac:dyDescent="0.15"/>
    <row r="6" spans="1:12" s="41" customFormat="1" ht="21.95" customHeight="1" thickBot="1" x14ac:dyDescent="0.2"/>
    <row r="7" spans="1:12" s="41" customFormat="1" ht="30" customHeight="1" x14ac:dyDescent="0.15">
      <c r="A7" s="231" t="s">
        <v>42</v>
      </c>
      <c r="B7" s="42" t="s">
        <v>80</v>
      </c>
      <c r="C7" s="43"/>
      <c r="D7" s="128" t="s">
        <v>73</v>
      </c>
      <c r="E7" s="44" t="s">
        <v>76</v>
      </c>
      <c r="F7" s="44" t="s">
        <v>20</v>
      </c>
      <c r="G7" s="128" t="s">
        <v>74</v>
      </c>
      <c r="H7" s="45" t="s">
        <v>7</v>
      </c>
      <c r="I7" s="129" t="s">
        <v>75</v>
      </c>
      <c r="J7" s="46" t="s">
        <v>78</v>
      </c>
      <c r="K7" s="47"/>
      <c r="L7" s="48"/>
    </row>
    <row r="8" spans="1:12" s="41" customFormat="1" ht="21.95" customHeight="1" x14ac:dyDescent="0.15">
      <c r="A8" s="232"/>
      <c r="B8" s="49" t="s">
        <v>81</v>
      </c>
      <c r="C8" s="49"/>
      <c r="D8" s="131" t="s">
        <v>45</v>
      </c>
      <c r="E8" s="130" t="s">
        <v>46</v>
      </c>
      <c r="F8" s="50" t="s">
        <v>43</v>
      </c>
      <c r="G8" s="131" t="s">
        <v>47</v>
      </c>
      <c r="H8" s="132" t="s">
        <v>77</v>
      </c>
      <c r="I8" s="123" t="s">
        <v>44</v>
      </c>
      <c r="J8" s="51" t="s">
        <v>48</v>
      </c>
      <c r="K8" s="52"/>
      <c r="L8" s="53"/>
    </row>
    <row r="9" spans="1:12" s="41" customFormat="1" ht="21.95" customHeight="1" thickBot="1" x14ac:dyDescent="0.2">
      <c r="A9" s="233"/>
      <c r="B9" s="54" t="s">
        <v>22</v>
      </c>
      <c r="C9" s="55" t="s">
        <v>21</v>
      </c>
      <c r="D9" s="54"/>
      <c r="E9" s="54"/>
      <c r="F9" s="54"/>
      <c r="G9" s="54"/>
      <c r="H9" s="54"/>
      <c r="I9" s="54"/>
      <c r="J9" s="133"/>
      <c r="K9" s="134"/>
      <c r="L9" s="135"/>
    </row>
    <row r="10" spans="1:12" s="41" customFormat="1" ht="21.95" customHeight="1" x14ac:dyDescent="0.15">
      <c r="A10" s="56">
        <v>1</v>
      </c>
      <c r="B10" s="57">
        <f>測定データ!A33</f>
        <v>206.5</v>
      </c>
      <c r="C10" s="58">
        <f>測定データ!C33</f>
        <v>302</v>
      </c>
      <c r="D10" s="59">
        <f>測定データ!F33</f>
        <v>5.9</v>
      </c>
      <c r="E10" s="60">
        <f>測定データ!D33</f>
        <v>2.8</v>
      </c>
      <c r="F10" s="59">
        <f>測定データ!E33</f>
        <v>1.2</v>
      </c>
      <c r="G10" s="61">
        <f>IF(D10="","",ROUND(E10/(D10*0.0001)/3600,2))</f>
        <v>1.32</v>
      </c>
      <c r="H10" s="127">
        <f>ROUND(1/(0.36*((2*9.8)/(353/(273+測定データ!$C$14)))^0.5)*E10,1)</f>
        <v>1.9</v>
      </c>
      <c r="I10" s="61">
        <f>IF(G10="","",ROUND((2*9.8)/((353/(273+測定データ!$C$14))*G10^2),1))</f>
        <v>9.5</v>
      </c>
      <c r="J10" s="124">
        <f t="shared" ref="J10:J16" si="0">E10</f>
        <v>2.8</v>
      </c>
      <c r="K10" s="62" t="s">
        <v>49</v>
      </c>
      <c r="L10" s="63">
        <f t="shared" ref="L10:L16" si="1">ROUND(1/F10,2)</f>
        <v>0.83</v>
      </c>
    </row>
    <row r="11" spans="1:12" s="41" customFormat="1" ht="21.95" customHeight="1" x14ac:dyDescent="0.15">
      <c r="A11" s="64">
        <v>2</v>
      </c>
      <c r="B11" s="65">
        <f>測定データ!A34</f>
        <v>302.5</v>
      </c>
      <c r="C11" s="66">
        <f>測定データ!C34</f>
        <v>398</v>
      </c>
      <c r="D11" s="67">
        <f>測定データ!F34</f>
        <v>17.8</v>
      </c>
      <c r="E11" s="68">
        <f>測定データ!D34</f>
        <v>8.6999999999999993</v>
      </c>
      <c r="F11" s="67">
        <f>測定データ!E34</f>
        <v>1.4</v>
      </c>
      <c r="G11" s="69">
        <f t="shared" ref="G11:G21" si="2">IF(D11="","",ROUND(E11/(D11*0.0001)/3600,2))</f>
        <v>1.36</v>
      </c>
      <c r="H11" s="70">
        <f>ROUND(1/(0.36*((2*9.8)/(353/(273+測定データ!$C$14)))^0.5)*E11,1)</f>
        <v>5.9</v>
      </c>
      <c r="I11" s="69">
        <f>IF(G11="","",ROUND((2*9.8)/((353/(273+測定データ!$C$14))*G11^2),1))</f>
        <v>9</v>
      </c>
      <c r="J11" s="125">
        <f t="shared" si="0"/>
        <v>8.6999999999999993</v>
      </c>
      <c r="K11" s="71" t="s">
        <v>49</v>
      </c>
      <c r="L11" s="72">
        <f t="shared" si="1"/>
        <v>0.71</v>
      </c>
    </row>
    <row r="12" spans="1:12" s="41" customFormat="1" ht="21.95" customHeight="1" x14ac:dyDescent="0.15">
      <c r="A12" s="64">
        <v>3</v>
      </c>
      <c r="B12" s="65">
        <f>測定データ!A35</f>
        <v>398.5</v>
      </c>
      <c r="C12" s="66">
        <f>測定データ!C35</f>
        <v>494</v>
      </c>
      <c r="D12" s="67">
        <f>測定データ!F35</f>
        <v>29.6</v>
      </c>
      <c r="E12" s="68">
        <f>測定データ!D35</f>
        <v>11.7</v>
      </c>
      <c r="F12" s="67">
        <f>測定データ!E35</f>
        <v>1.5</v>
      </c>
      <c r="G12" s="69">
        <f t="shared" si="2"/>
        <v>1.1000000000000001</v>
      </c>
      <c r="H12" s="70">
        <f>ROUND(1/(0.36*((2*9.8)/(353/(273+測定データ!$C$14)))^0.5)*E12,1)</f>
        <v>8</v>
      </c>
      <c r="I12" s="69">
        <f>IF(G12="","",ROUND((2*9.8)/((353/(273+測定データ!$C$14))*G12^2),1))</f>
        <v>13.7</v>
      </c>
      <c r="J12" s="125">
        <f t="shared" si="0"/>
        <v>11.7</v>
      </c>
      <c r="K12" s="71" t="s">
        <v>71</v>
      </c>
      <c r="L12" s="72">
        <f t="shared" si="1"/>
        <v>0.67</v>
      </c>
    </row>
    <row r="13" spans="1:12" s="41" customFormat="1" ht="21.95" customHeight="1" x14ac:dyDescent="0.15">
      <c r="A13" s="64">
        <v>4</v>
      </c>
      <c r="B13" s="65">
        <f>測定データ!A36</f>
        <v>494.5</v>
      </c>
      <c r="C13" s="66">
        <f>測定データ!C36</f>
        <v>590</v>
      </c>
      <c r="D13" s="67">
        <f>測定データ!F36</f>
        <v>39.1</v>
      </c>
      <c r="E13" s="68">
        <f>測定データ!D36</f>
        <v>17.7</v>
      </c>
      <c r="F13" s="67">
        <f>測定データ!E36</f>
        <v>1.6</v>
      </c>
      <c r="G13" s="69">
        <f t="shared" si="2"/>
        <v>1.26</v>
      </c>
      <c r="H13" s="70">
        <f>ROUND(1/(0.36*((2*9.8)/(353/(273+測定データ!$C$14)))^0.5)*E13,1)</f>
        <v>12.1</v>
      </c>
      <c r="I13" s="69">
        <f>IF(G13="","",ROUND((2*9.8)/((353/(273+測定データ!$C$14))*G13^2),1))</f>
        <v>10.5</v>
      </c>
      <c r="J13" s="125">
        <f t="shared" si="0"/>
        <v>17.7</v>
      </c>
      <c r="K13" s="71" t="s">
        <v>71</v>
      </c>
      <c r="L13" s="72">
        <f t="shared" si="1"/>
        <v>0.63</v>
      </c>
    </row>
    <row r="14" spans="1:12" s="41" customFormat="1" ht="21.95" customHeight="1" x14ac:dyDescent="0.15">
      <c r="A14" s="64">
        <v>5</v>
      </c>
      <c r="B14" s="65">
        <f>測定データ!A37</f>
        <v>590.5</v>
      </c>
      <c r="C14" s="66">
        <f>測定データ!C37</f>
        <v>686</v>
      </c>
      <c r="D14" s="67">
        <f>測定データ!F37</f>
        <v>47.3</v>
      </c>
      <c r="E14" s="68">
        <f>測定データ!D37</f>
        <v>23.3</v>
      </c>
      <c r="F14" s="67">
        <f>測定データ!E37</f>
        <v>1.6</v>
      </c>
      <c r="G14" s="69">
        <f t="shared" si="2"/>
        <v>1.37</v>
      </c>
      <c r="H14" s="70">
        <f>ROUND(1/(0.36*((2*9.8)/(353/(273+測定データ!$C$14)))^0.5)*E14,1)</f>
        <v>15.9</v>
      </c>
      <c r="I14" s="69">
        <f>IF(G14="","",ROUND((2*9.8)/((353/(273+測定データ!$C$14))*G14^2),1))</f>
        <v>8.8000000000000007</v>
      </c>
      <c r="J14" s="125">
        <f t="shared" si="0"/>
        <v>23.3</v>
      </c>
      <c r="K14" s="71" t="s">
        <v>71</v>
      </c>
      <c r="L14" s="72">
        <f t="shared" si="1"/>
        <v>0.63</v>
      </c>
    </row>
    <row r="15" spans="1:12" s="41" customFormat="1" ht="21.95" customHeight="1" x14ac:dyDescent="0.15">
      <c r="A15" s="64">
        <v>6</v>
      </c>
      <c r="B15" s="65">
        <f>測定データ!A38</f>
        <v>686.5</v>
      </c>
      <c r="C15" s="66">
        <f>測定データ!C38</f>
        <v>782</v>
      </c>
      <c r="D15" s="67">
        <f>測定データ!F38</f>
        <v>55.4</v>
      </c>
      <c r="E15" s="68">
        <f>測定データ!D38</f>
        <v>28.1</v>
      </c>
      <c r="F15" s="67">
        <f>測定データ!E38</f>
        <v>1.7</v>
      </c>
      <c r="G15" s="69">
        <f t="shared" si="2"/>
        <v>1.41</v>
      </c>
      <c r="H15" s="70">
        <f>ROUND(1/(0.36*((2*9.8)/(353/(273+測定データ!$C$14)))^0.5)*E15,1)</f>
        <v>19.2</v>
      </c>
      <c r="I15" s="69">
        <f>IF(G15="","",ROUND((2*9.8)/((353/(273+測定データ!$C$14))*G15^2),1))</f>
        <v>8.4</v>
      </c>
      <c r="J15" s="125">
        <f t="shared" si="0"/>
        <v>28.1</v>
      </c>
      <c r="K15" s="71" t="s">
        <v>71</v>
      </c>
      <c r="L15" s="72">
        <f t="shared" si="1"/>
        <v>0.59</v>
      </c>
    </row>
    <row r="16" spans="1:12" s="41" customFormat="1" ht="21.95" customHeight="1" x14ac:dyDescent="0.15">
      <c r="A16" s="64">
        <v>7</v>
      </c>
      <c r="B16" s="65">
        <f>測定データ!A39</f>
        <v>782.5</v>
      </c>
      <c r="C16" s="66">
        <f>測定データ!C39</f>
        <v>830</v>
      </c>
      <c r="D16" s="67">
        <f>測定データ!F39</f>
        <v>63.5</v>
      </c>
      <c r="E16" s="68">
        <f>測定データ!D39</f>
        <v>32.1</v>
      </c>
      <c r="F16" s="67">
        <f>測定データ!E39</f>
        <v>1.6</v>
      </c>
      <c r="G16" s="69">
        <f t="shared" si="2"/>
        <v>1.4</v>
      </c>
      <c r="H16" s="70">
        <f>ROUND(1/(0.36*((2*9.8)/(353/(273+測定データ!$C$14)))^0.5)*E16,1)</f>
        <v>21.9</v>
      </c>
      <c r="I16" s="69">
        <f>IF(G16="","",ROUND((2*9.8)/((353/(273+測定データ!$C$14))*G16^2),1))</f>
        <v>8.5</v>
      </c>
      <c r="J16" s="125">
        <f t="shared" si="0"/>
        <v>32.1</v>
      </c>
      <c r="K16" s="71" t="s">
        <v>71</v>
      </c>
      <c r="L16" s="72">
        <f t="shared" si="1"/>
        <v>0.63</v>
      </c>
    </row>
    <row r="17" spans="1:12" s="41" customFormat="1" ht="21.95" customHeight="1" x14ac:dyDescent="0.15">
      <c r="A17" s="64">
        <v>8</v>
      </c>
      <c r="B17" s="65">
        <f>測定データ!A40</f>
        <v>830.5</v>
      </c>
      <c r="C17" s="66">
        <f>測定データ!C40</f>
        <v>878</v>
      </c>
      <c r="D17" s="67">
        <f>測定データ!F40</f>
        <v>67.599999999999994</v>
      </c>
      <c r="E17" s="68">
        <f>測定データ!D40</f>
        <v>35.1</v>
      </c>
      <c r="F17" s="67">
        <f>測定データ!E40</f>
        <v>1.7</v>
      </c>
      <c r="G17" s="69">
        <f t="shared" si="2"/>
        <v>1.44</v>
      </c>
      <c r="H17" s="70">
        <f>ROUND(1/(0.36*((2*9.8)/(353/(273+測定データ!$C$14)))^0.5)*E17,1)</f>
        <v>23.9</v>
      </c>
      <c r="I17" s="69">
        <f>IF(G17="","",ROUND((2*9.8)/((353/(273+測定データ!$C$14))*G17^2),1))</f>
        <v>8</v>
      </c>
      <c r="J17" s="125">
        <f>E17</f>
        <v>35.1</v>
      </c>
      <c r="K17" s="71" t="s">
        <v>71</v>
      </c>
      <c r="L17" s="72">
        <f>ROUND(1/F17,2)</f>
        <v>0.59</v>
      </c>
    </row>
    <row r="18" spans="1:12" s="41" customFormat="1" ht="21.95" customHeight="1" x14ac:dyDescent="0.15">
      <c r="A18" s="64">
        <v>9</v>
      </c>
      <c r="B18" s="65">
        <f>測定データ!A41</f>
        <v>878.5</v>
      </c>
      <c r="C18" s="66">
        <f>測定データ!C41</f>
        <v>926</v>
      </c>
      <c r="D18" s="67">
        <f>測定データ!F41</f>
        <v>71.7</v>
      </c>
      <c r="E18" s="68">
        <f>測定データ!D41</f>
        <v>37.4</v>
      </c>
      <c r="F18" s="67">
        <f>測定データ!E41</f>
        <v>1.7</v>
      </c>
      <c r="G18" s="69">
        <f t="shared" si="2"/>
        <v>1.45</v>
      </c>
      <c r="H18" s="70">
        <f>ROUND(1/(0.36*((2*9.8)/(353/(273+測定データ!$C$14)))^0.5)*E18,1)</f>
        <v>25.5</v>
      </c>
      <c r="I18" s="69">
        <f>IF(G18="","",ROUND((2*9.8)/((353/(273+測定データ!$C$14))*G18^2),1))</f>
        <v>7.9</v>
      </c>
      <c r="J18" s="125">
        <f>E18</f>
        <v>37.4</v>
      </c>
      <c r="K18" s="71" t="s">
        <v>71</v>
      </c>
      <c r="L18" s="72">
        <f>ROUND(1/F18,2)</f>
        <v>0.59</v>
      </c>
    </row>
    <row r="19" spans="1:12" s="41" customFormat="1" ht="21.95" customHeight="1" x14ac:dyDescent="0.15">
      <c r="A19" s="180">
        <v>10</v>
      </c>
      <c r="B19" s="65">
        <f>測定データ!A42</f>
        <v>926.5</v>
      </c>
      <c r="C19" s="66">
        <f>測定データ!C42</f>
        <v>1022</v>
      </c>
      <c r="D19" s="67">
        <f>測定データ!F42</f>
        <v>75.7</v>
      </c>
      <c r="E19" s="68">
        <f>測定データ!D42</f>
        <v>40.299999999999997</v>
      </c>
      <c r="F19" s="67">
        <f>測定データ!E42</f>
        <v>1.7</v>
      </c>
      <c r="G19" s="69">
        <f t="shared" si="2"/>
        <v>1.48</v>
      </c>
      <c r="H19" s="70">
        <f>ROUND(1/(0.36*((2*9.8)/(353/(273+測定データ!$C$14)))^0.5)*E19,1)</f>
        <v>27.5</v>
      </c>
      <c r="I19" s="69">
        <f>IF(G19="","",ROUND((2*9.8)/((353/(273+測定データ!$C$14))*G19^2),1))</f>
        <v>7.6</v>
      </c>
      <c r="J19" s="125">
        <f>E19</f>
        <v>40.299999999999997</v>
      </c>
      <c r="K19" s="71" t="s">
        <v>71</v>
      </c>
      <c r="L19" s="72">
        <f>ROUND(1/F19,2)</f>
        <v>0.59</v>
      </c>
    </row>
    <row r="20" spans="1:12" s="41" customFormat="1" ht="21.95" customHeight="1" x14ac:dyDescent="0.15">
      <c r="A20" s="180">
        <v>11</v>
      </c>
      <c r="B20" s="65">
        <f>測定データ!A43</f>
        <v>1022.5</v>
      </c>
      <c r="C20" s="66">
        <f>測定データ!C43</f>
        <v>1118</v>
      </c>
      <c r="D20" s="67">
        <f>測定データ!F43</f>
        <v>83.9</v>
      </c>
      <c r="E20" s="68">
        <f>測定データ!D43</f>
        <v>44.4</v>
      </c>
      <c r="F20" s="67">
        <f>測定データ!E43</f>
        <v>1.7</v>
      </c>
      <c r="G20" s="69">
        <f t="shared" si="2"/>
        <v>1.47</v>
      </c>
      <c r="H20" s="70">
        <f>ROUND(1/(0.36*((2*9.8)/(353/(273+測定データ!$C$14)))^0.5)*E20,1)</f>
        <v>30.3</v>
      </c>
      <c r="I20" s="69">
        <f>IF(G20="","",ROUND((2*9.8)/((353/(273+測定データ!$C$14))*G20^2),1))</f>
        <v>7.7</v>
      </c>
      <c r="J20" s="125">
        <f>E20</f>
        <v>44.4</v>
      </c>
      <c r="K20" s="71" t="s">
        <v>71</v>
      </c>
      <c r="L20" s="72">
        <f>ROUND(1/F20,2)</f>
        <v>0.59</v>
      </c>
    </row>
    <row r="21" spans="1:12" s="41" customFormat="1" ht="21.95" customHeight="1" thickBot="1" x14ac:dyDescent="0.2">
      <c r="A21" s="73">
        <v>12</v>
      </c>
      <c r="B21" s="74">
        <f>測定データ!A44</f>
        <v>1118.5</v>
      </c>
      <c r="C21" s="75">
        <f>測定データ!C44</f>
        <v>1180</v>
      </c>
      <c r="D21" s="76">
        <f>測定データ!F44</f>
        <v>92</v>
      </c>
      <c r="E21" s="77">
        <f>測定データ!D44</f>
        <v>49.8</v>
      </c>
      <c r="F21" s="76">
        <f>測定データ!E44</f>
        <v>1.7</v>
      </c>
      <c r="G21" s="78">
        <f t="shared" si="2"/>
        <v>1.5</v>
      </c>
      <c r="H21" s="79">
        <f>ROUND(1/(0.36*((2*9.8)/(353/(273+測定データ!$C$14)))^0.5)*E21,1)</f>
        <v>33.9</v>
      </c>
      <c r="I21" s="78">
        <f>IF(G21="","",ROUND((2*9.8)/((353/(273+測定データ!$C$14))*G21^2),1))</f>
        <v>7.4</v>
      </c>
      <c r="J21" s="126">
        <f>E21</f>
        <v>49.8</v>
      </c>
      <c r="K21" s="80" t="s">
        <v>71</v>
      </c>
      <c r="L21" s="81">
        <f>ROUND(1/F21,2)</f>
        <v>0.59</v>
      </c>
    </row>
    <row r="22" spans="1:12" s="41" customFormat="1" ht="21.95" customHeight="1" x14ac:dyDescent="0.15">
      <c r="A22" s="82"/>
      <c r="B22" s="83"/>
      <c r="C22" s="83"/>
      <c r="D22" s="84"/>
      <c r="E22" s="85"/>
      <c r="F22" s="85"/>
      <c r="G22" s="86"/>
      <c r="H22" s="85"/>
      <c r="I22" s="86"/>
      <c r="J22" s="83"/>
      <c r="K22" s="87"/>
      <c r="L22" s="88"/>
    </row>
    <row r="23" spans="1:12" s="41" customFormat="1" ht="21.95" customHeight="1" x14ac:dyDescent="0.15">
      <c r="A23" s="41" t="s">
        <v>23</v>
      </c>
    </row>
    <row r="24" spans="1:12" s="41" customFormat="1" ht="21.95" customHeight="1" x14ac:dyDescent="0.15">
      <c r="A24" s="89"/>
    </row>
    <row r="30" spans="1:12" x14ac:dyDescent="0.15">
      <c r="D30" s="90"/>
      <c r="E30" s="90"/>
      <c r="F30" s="90"/>
      <c r="G30" s="90"/>
      <c r="H30" s="90"/>
      <c r="I30" s="90"/>
      <c r="J30" s="90"/>
      <c r="K30" s="90"/>
    </row>
    <row r="31" spans="1:12" x14ac:dyDescent="0.15">
      <c r="D31" s="90"/>
      <c r="E31" s="90"/>
      <c r="F31" s="90"/>
      <c r="G31" s="90"/>
      <c r="H31" s="90"/>
      <c r="I31" s="90"/>
      <c r="J31" s="90"/>
      <c r="K31" s="90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45"/>
  <sheetViews>
    <sheetView showGridLines="0" zoomScale="75" zoomScaleNormal="75" workbookViewId="0">
      <selection activeCell="M19" sqref="M19"/>
    </sheetView>
  </sheetViews>
  <sheetFormatPr defaultColWidth="9" defaultRowHeight="13.5" x14ac:dyDescent="0.15"/>
  <cols>
    <col min="1" max="1" width="4.75" style="38" customWidth="1"/>
    <col min="2" max="7" width="9.625" style="38" customWidth="1"/>
    <col min="8" max="10" width="8.125" style="38" hidden="1" customWidth="1"/>
    <col min="11" max="11" width="6.625" style="38" customWidth="1"/>
    <col min="12" max="12" width="11.625" style="38" customWidth="1"/>
    <col min="13" max="13" width="5.625" style="38" customWidth="1"/>
    <col min="14" max="14" width="4.625" style="38" customWidth="1"/>
    <col min="15" max="16384" width="9" style="38"/>
  </cols>
  <sheetData>
    <row r="1" spans="1:24" ht="21.95" customHeight="1" x14ac:dyDescent="0.15">
      <c r="A1" s="37" t="s">
        <v>18</v>
      </c>
      <c r="B1" s="37"/>
      <c r="C1" s="37"/>
      <c r="D1" s="37"/>
      <c r="K1" s="234">
        <f>測定データ!B10</f>
        <v>39381</v>
      </c>
      <c r="L1" s="234"/>
      <c r="M1" s="234"/>
      <c r="X1" s="182"/>
    </row>
    <row r="2" spans="1:24" s="41" customFormat="1" ht="21.95" customHeight="1" x14ac:dyDescent="0.15"/>
    <row r="3" spans="1:24" s="41" customFormat="1" ht="21.95" customHeight="1" x14ac:dyDescent="0.15">
      <c r="A3" s="41" t="str">
        <f>測定データ!B7</f>
        <v>トステム㈱殿　PROSE70 17開口用換気框　フィルター付</v>
      </c>
      <c r="L3" s="183" t="s">
        <v>32</v>
      </c>
      <c r="M3" s="39"/>
    </row>
    <row r="4" spans="1:24" s="41" customFormat="1" ht="21.95" customHeight="1" thickBot="1" x14ac:dyDescent="0.2"/>
    <row r="5" spans="1:24" s="41" customFormat="1" ht="30" customHeight="1" x14ac:dyDescent="0.15">
      <c r="A5" s="231" t="s">
        <v>93</v>
      </c>
      <c r="B5" s="235" t="s">
        <v>103</v>
      </c>
      <c r="C5" s="236"/>
      <c r="D5" s="237" t="s">
        <v>102</v>
      </c>
      <c r="E5" s="128" t="s">
        <v>73</v>
      </c>
      <c r="F5" s="45" t="s">
        <v>7</v>
      </c>
      <c r="G5" s="44" t="s">
        <v>76</v>
      </c>
      <c r="H5" s="44" t="s">
        <v>20</v>
      </c>
      <c r="I5" s="128" t="s">
        <v>74</v>
      </c>
      <c r="J5" s="129" t="s">
        <v>75</v>
      </c>
      <c r="K5" s="46" t="s">
        <v>78</v>
      </c>
      <c r="L5" s="47"/>
      <c r="M5" s="48"/>
    </row>
    <row r="6" spans="1:24" s="41" customFormat="1" ht="21.95" customHeight="1" thickBot="1" x14ac:dyDescent="0.2">
      <c r="A6" s="232"/>
      <c r="B6" s="54" t="s">
        <v>22</v>
      </c>
      <c r="C6" s="55" t="s">
        <v>21</v>
      </c>
      <c r="D6" s="238"/>
      <c r="E6" s="131" t="s">
        <v>94</v>
      </c>
      <c r="F6" s="132" t="s">
        <v>77</v>
      </c>
      <c r="G6" s="130" t="s">
        <v>95</v>
      </c>
      <c r="H6" s="50" t="s">
        <v>96</v>
      </c>
      <c r="I6" s="131" t="s">
        <v>97</v>
      </c>
      <c r="J6" s="123" t="s">
        <v>98</v>
      </c>
      <c r="K6" s="51" t="s">
        <v>99</v>
      </c>
      <c r="L6" s="52"/>
      <c r="M6" s="53"/>
    </row>
    <row r="7" spans="1:24" s="41" customFormat="1" ht="21.95" customHeight="1" x14ac:dyDescent="0.15">
      <c r="A7" s="56">
        <v>1</v>
      </c>
      <c r="B7" s="57">
        <f>測定データ!A33</f>
        <v>206.5</v>
      </c>
      <c r="C7" s="58">
        <f>測定データ!C33</f>
        <v>302</v>
      </c>
      <c r="D7" s="184">
        <v>45</v>
      </c>
      <c r="E7" s="59">
        <f>測定データ!F33</f>
        <v>5.9</v>
      </c>
      <c r="F7" s="127">
        <f>ROUND(1/(0.36*((2*9.8)/(353/(273+測定データ!$C$14)))^0.5)*G7,1)</f>
        <v>1.9</v>
      </c>
      <c r="G7" s="60">
        <f>測定データ!D33</f>
        <v>2.8</v>
      </c>
      <c r="H7" s="59">
        <f>測定データ!E33</f>
        <v>1.2</v>
      </c>
      <c r="I7" s="61">
        <f t="shared" ref="I7:I18" si="0">IF(E7="","",ROUND(G7/(E7*0.0001)/3600,2))</f>
        <v>1.32</v>
      </c>
      <c r="J7" s="61">
        <f>IF(I7="","",ROUND((2*9.8)/((353/(273+測定データ!$C$14))*I7^2),1))</f>
        <v>9.5</v>
      </c>
      <c r="K7" s="124">
        <f t="shared" ref="K7:K18" si="1">G7</f>
        <v>2.8</v>
      </c>
      <c r="L7" s="62" t="s">
        <v>100</v>
      </c>
      <c r="M7" s="63">
        <f t="shared" ref="M7:M18" si="2">ROUND(1/H7,2)</f>
        <v>0.83</v>
      </c>
    </row>
    <row r="8" spans="1:24" s="41" customFormat="1" ht="21.95" customHeight="1" x14ac:dyDescent="0.15">
      <c r="A8" s="64">
        <v>2</v>
      </c>
      <c r="B8" s="65">
        <f>測定データ!A34</f>
        <v>302.5</v>
      </c>
      <c r="C8" s="66">
        <f>測定データ!C34</f>
        <v>398</v>
      </c>
      <c r="D8" s="185">
        <v>141</v>
      </c>
      <c r="E8" s="67">
        <f>測定データ!F34</f>
        <v>17.8</v>
      </c>
      <c r="F8" s="70">
        <f>ROUND(1/(0.36*((2*9.8)/(353/(273+測定データ!$C$14)))^0.5)*G8,1)</f>
        <v>5.9</v>
      </c>
      <c r="G8" s="68">
        <f>測定データ!D34</f>
        <v>8.6999999999999993</v>
      </c>
      <c r="H8" s="67">
        <f>測定データ!E34</f>
        <v>1.4</v>
      </c>
      <c r="I8" s="69">
        <f t="shared" si="0"/>
        <v>1.36</v>
      </c>
      <c r="J8" s="69">
        <f>IF(I8="","",ROUND((2*9.8)/((353/(273+測定データ!$C$14))*I8^2),1))</f>
        <v>9</v>
      </c>
      <c r="K8" s="125">
        <f t="shared" si="1"/>
        <v>8.6999999999999993</v>
      </c>
      <c r="L8" s="71" t="s">
        <v>100</v>
      </c>
      <c r="M8" s="72">
        <f t="shared" si="2"/>
        <v>0.71</v>
      </c>
    </row>
    <row r="9" spans="1:24" s="41" customFormat="1" ht="21.95" customHeight="1" x14ac:dyDescent="0.15">
      <c r="A9" s="64">
        <v>3</v>
      </c>
      <c r="B9" s="65">
        <f>測定データ!A35</f>
        <v>398.5</v>
      </c>
      <c r="C9" s="66">
        <f>測定データ!C35</f>
        <v>494</v>
      </c>
      <c r="D9" s="185">
        <v>237</v>
      </c>
      <c r="E9" s="67">
        <f>測定データ!F35</f>
        <v>29.6</v>
      </c>
      <c r="F9" s="70">
        <f>ROUND(1/(0.36*((2*9.8)/(353/(273+測定データ!$C$14)))^0.5)*G9,1)</f>
        <v>8</v>
      </c>
      <c r="G9" s="68">
        <f>測定データ!D35</f>
        <v>11.7</v>
      </c>
      <c r="H9" s="67">
        <f>測定データ!E35</f>
        <v>1.5</v>
      </c>
      <c r="I9" s="69">
        <f t="shared" si="0"/>
        <v>1.1000000000000001</v>
      </c>
      <c r="J9" s="69">
        <f>IF(I9="","",ROUND((2*9.8)/((353/(273+測定データ!$C$14))*I9^2),1))</f>
        <v>13.7</v>
      </c>
      <c r="K9" s="125">
        <f t="shared" si="1"/>
        <v>11.7</v>
      </c>
      <c r="L9" s="71" t="s">
        <v>71</v>
      </c>
      <c r="M9" s="72">
        <f t="shared" si="2"/>
        <v>0.67</v>
      </c>
    </row>
    <row r="10" spans="1:24" s="41" customFormat="1" ht="21.95" customHeight="1" x14ac:dyDescent="0.15">
      <c r="A10" s="64">
        <v>4</v>
      </c>
      <c r="B10" s="65">
        <f>測定データ!A36</f>
        <v>494.5</v>
      </c>
      <c r="C10" s="66">
        <f>測定データ!C36</f>
        <v>590</v>
      </c>
      <c r="D10" s="185">
        <v>333</v>
      </c>
      <c r="E10" s="67">
        <f>測定データ!F36</f>
        <v>39.1</v>
      </c>
      <c r="F10" s="70">
        <f>ROUND(1/(0.36*((2*9.8)/(353/(273+測定データ!$C$14)))^0.5)*G10,1)</f>
        <v>12.1</v>
      </c>
      <c r="G10" s="68">
        <f>測定データ!D36</f>
        <v>17.7</v>
      </c>
      <c r="H10" s="67">
        <f>測定データ!E36</f>
        <v>1.6</v>
      </c>
      <c r="I10" s="69">
        <f t="shared" si="0"/>
        <v>1.26</v>
      </c>
      <c r="J10" s="69">
        <f>IF(I10="","",ROUND((2*9.8)/((353/(273+測定データ!$C$14))*I10^2),1))</f>
        <v>10.5</v>
      </c>
      <c r="K10" s="125">
        <f t="shared" si="1"/>
        <v>17.7</v>
      </c>
      <c r="L10" s="71" t="s">
        <v>71</v>
      </c>
      <c r="M10" s="72">
        <f t="shared" si="2"/>
        <v>0.63</v>
      </c>
    </row>
    <row r="11" spans="1:24" s="41" customFormat="1" ht="21.95" customHeight="1" x14ac:dyDescent="0.15">
      <c r="A11" s="64">
        <v>5</v>
      </c>
      <c r="B11" s="65">
        <f>測定データ!A37</f>
        <v>590.5</v>
      </c>
      <c r="C11" s="66">
        <f>測定データ!C37</f>
        <v>686</v>
      </c>
      <c r="D11" s="185">
        <v>429</v>
      </c>
      <c r="E11" s="67">
        <f>測定データ!F37</f>
        <v>47.3</v>
      </c>
      <c r="F11" s="70">
        <f>ROUND(1/(0.36*((2*9.8)/(353/(273+測定データ!$C$14)))^0.5)*G11,1)</f>
        <v>15.9</v>
      </c>
      <c r="G11" s="68">
        <f>測定データ!D37</f>
        <v>23.3</v>
      </c>
      <c r="H11" s="67">
        <f>測定データ!E37</f>
        <v>1.6</v>
      </c>
      <c r="I11" s="69">
        <f t="shared" si="0"/>
        <v>1.37</v>
      </c>
      <c r="J11" s="69">
        <f>IF(I11="","",ROUND((2*9.8)/((353/(273+測定データ!$C$14))*I11^2),1))</f>
        <v>8.8000000000000007</v>
      </c>
      <c r="K11" s="125">
        <f t="shared" si="1"/>
        <v>23.3</v>
      </c>
      <c r="L11" s="71" t="s">
        <v>71</v>
      </c>
      <c r="M11" s="72">
        <f t="shared" si="2"/>
        <v>0.63</v>
      </c>
    </row>
    <row r="12" spans="1:24" s="41" customFormat="1" ht="21.95" customHeight="1" x14ac:dyDescent="0.15">
      <c r="A12" s="64">
        <v>6</v>
      </c>
      <c r="B12" s="65">
        <f>測定データ!A38</f>
        <v>686.5</v>
      </c>
      <c r="C12" s="66">
        <f>測定データ!C38</f>
        <v>782</v>
      </c>
      <c r="D12" s="185">
        <v>525</v>
      </c>
      <c r="E12" s="67">
        <f>測定データ!F38</f>
        <v>55.4</v>
      </c>
      <c r="F12" s="70">
        <f>ROUND(1/(0.36*((2*9.8)/(353/(273+測定データ!$C$14)))^0.5)*G12,1)</f>
        <v>19.2</v>
      </c>
      <c r="G12" s="68">
        <f>測定データ!D38</f>
        <v>28.1</v>
      </c>
      <c r="H12" s="67">
        <f>測定データ!E38</f>
        <v>1.7</v>
      </c>
      <c r="I12" s="69">
        <f t="shared" si="0"/>
        <v>1.41</v>
      </c>
      <c r="J12" s="69">
        <f>IF(I12="","",ROUND((2*9.8)/((353/(273+測定データ!$C$14))*I12^2),1))</f>
        <v>8.4</v>
      </c>
      <c r="K12" s="125">
        <f t="shared" si="1"/>
        <v>28.1</v>
      </c>
      <c r="L12" s="71" t="s">
        <v>71</v>
      </c>
      <c r="M12" s="72">
        <f t="shared" si="2"/>
        <v>0.59</v>
      </c>
    </row>
    <row r="13" spans="1:24" s="41" customFormat="1" ht="21.95" customHeight="1" x14ac:dyDescent="0.15">
      <c r="A13" s="64">
        <v>7</v>
      </c>
      <c r="B13" s="65">
        <f>測定データ!A39</f>
        <v>782.5</v>
      </c>
      <c r="C13" s="66">
        <f>測定データ!C39</f>
        <v>830</v>
      </c>
      <c r="D13" s="185">
        <v>621</v>
      </c>
      <c r="E13" s="67">
        <f>測定データ!F39</f>
        <v>63.5</v>
      </c>
      <c r="F13" s="70">
        <f>ROUND(1/(0.36*((2*9.8)/(353/(273+測定データ!$C$14)))^0.5)*G13,1)</f>
        <v>21.9</v>
      </c>
      <c r="G13" s="68">
        <f>測定データ!D39</f>
        <v>32.1</v>
      </c>
      <c r="H13" s="67">
        <f>測定データ!E39</f>
        <v>1.6</v>
      </c>
      <c r="I13" s="69">
        <f t="shared" si="0"/>
        <v>1.4</v>
      </c>
      <c r="J13" s="69">
        <f>IF(I13="","",ROUND((2*9.8)/((353/(273+測定データ!$C$14))*I13^2),1))</f>
        <v>8.5</v>
      </c>
      <c r="K13" s="125">
        <f t="shared" si="1"/>
        <v>32.1</v>
      </c>
      <c r="L13" s="71" t="s">
        <v>71</v>
      </c>
      <c r="M13" s="72">
        <f t="shared" si="2"/>
        <v>0.63</v>
      </c>
    </row>
    <row r="14" spans="1:24" s="41" customFormat="1" ht="21.95" customHeight="1" x14ac:dyDescent="0.15">
      <c r="A14" s="64">
        <v>8</v>
      </c>
      <c r="B14" s="65">
        <f>測定データ!A40</f>
        <v>830.5</v>
      </c>
      <c r="C14" s="66">
        <f>測定データ!C40</f>
        <v>878</v>
      </c>
      <c r="D14" s="185">
        <v>669</v>
      </c>
      <c r="E14" s="67">
        <f>測定データ!F40</f>
        <v>67.599999999999994</v>
      </c>
      <c r="F14" s="70">
        <f>ROUND(1/(0.36*((2*9.8)/(353/(273+測定データ!$C$14)))^0.5)*G14,1)</f>
        <v>23.9</v>
      </c>
      <c r="G14" s="68">
        <f>測定データ!D40</f>
        <v>35.1</v>
      </c>
      <c r="H14" s="67">
        <f>測定データ!E40</f>
        <v>1.7</v>
      </c>
      <c r="I14" s="69">
        <f t="shared" si="0"/>
        <v>1.44</v>
      </c>
      <c r="J14" s="69">
        <f>IF(I14="","",ROUND((2*9.8)/((353/(273+測定データ!$C$14))*I14^2),1))</f>
        <v>8</v>
      </c>
      <c r="K14" s="125">
        <f t="shared" si="1"/>
        <v>35.1</v>
      </c>
      <c r="L14" s="71" t="s">
        <v>71</v>
      </c>
      <c r="M14" s="72">
        <f t="shared" si="2"/>
        <v>0.59</v>
      </c>
    </row>
    <row r="15" spans="1:24" s="41" customFormat="1" ht="21.95" customHeight="1" x14ac:dyDescent="0.15">
      <c r="A15" s="64">
        <v>9</v>
      </c>
      <c r="B15" s="65">
        <f>測定データ!A41</f>
        <v>878.5</v>
      </c>
      <c r="C15" s="66">
        <f>測定データ!C41</f>
        <v>926</v>
      </c>
      <c r="D15" s="185">
        <v>717</v>
      </c>
      <c r="E15" s="67">
        <f>測定データ!F41</f>
        <v>71.7</v>
      </c>
      <c r="F15" s="70">
        <f>ROUND(1/(0.36*((2*9.8)/(353/(273+測定データ!$C$14)))^0.5)*G15,1)</f>
        <v>25.5</v>
      </c>
      <c r="G15" s="68">
        <f>測定データ!D41</f>
        <v>37.4</v>
      </c>
      <c r="H15" s="67">
        <f>測定データ!E41</f>
        <v>1.7</v>
      </c>
      <c r="I15" s="69">
        <f t="shared" si="0"/>
        <v>1.45</v>
      </c>
      <c r="J15" s="69">
        <f>IF(I15="","",ROUND((2*9.8)/((353/(273+測定データ!$C$14))*I15^2),1))</f>
        <v>7.9</v>
      </c>
      <c r="K15" s="125">
        <f t="shared" si="1"/>
        <v>37.4</v>
      </c>
      <c r="L15" s="71" t="s">
        <v>71</v>
      </c>
      <c r="M15" s="72">
        <f t="shared" si="2"/>
        <v>0.59</v>
      </c>
    </row>
    <row r="16" spans="1:24" s="41" customFormat="1" ht="21.95" customHeight="1" x14ac:dyDescent="0.15">
      <c r="A16" s="180">
        <v>10</v>
      </c>
      <c r="B16" s="65">
        <f>測定データ!A42</f>
        <v>926.5</v>
      </c>
      <c r="C16" s="66">
        <f>測定データ!C42</f>
        <v>1022</v>
      </c>
      <c r="D16" s="185">
        <v>765</v>
      </c>
      <c r="E16" s="67">
        <f>測定データ!F42</f>
        <v>75.7</v>
      </c>
      <c r="F16" s="70">
        <f>ROUND(1/(0.36*((2*9.8)/(353/(273+測定データ!$C$14)))^0.5)*G16,1)</f>
        <v>27.5</v>
      </c>
      <c r="G16" s="68">
        <f>測定データ!D42</f>
        <v>40.299999999999997</v>
      </c>
      <c r="H16" s="67">
        <f>測定データ!E42</f>
        <v>1.7</v>
      </c>
      <c r="I16" s="69">
        <f t="shared" si="0"/>
        <v>1.48</v>
      </c>
      <c r="J16" s="69">
        <f>IF(I16="","",ROUND((2*9.8)/((353/(273+測定データ!$C$14))*I16^2),1))</f>
        <v>7.6</v>
      </c>
      <c r="K16" s="125">
        <f t="shared" si="1"/>
        <v>40.299999999999997</v>
      </c>
      <c r="L16" s="71" t="s">
        <v>71</v>
      </c>
      <c r="M16" s="72">
        <f t="shared" si="2"/>
        <v>0.59</v>
      </c>
    </row>
    <row r="17" spans="1:13" s="41" customFormat="1" ht="21.95" customHeight="1" x14ac:dyDescent="0.15">
      <c r="A17" s="180">
        <v>11</v>
      </c>
      <c r="B17" s="65">
        <f>測定データ!A43</f>
        <v>1022.5</v>
      </c>
      <c r="C17" s="66">
        <f>測定データ!C43</f>
        <v>1118</v>
      </c>
      <c r="D17" s="185">
        <v>861</v>
      </c>
      <c r="E17" s="67">
        <f>測定データ!F43</f>
        <v>83.9</v>
      </c>
      <c r="F17" s="70">
        <f>ROUND(1/(0.36*((2*9.8)/(353/(273+測定データ!$C$14)))^0.5)*G17,1)</f>
        <v>30.3</v>
      </c>
      <c r="G17" s="68">
        <f>測定データ!D43</f>
        <v>44.4</v>
      </c>
      <c r="H17" s="67">
        <f>測定データ!E43</f>
        <v>1.7</v>
      </c>
      <c r="I17" s="69">
        <f t="shared" si="0"/>
        <v>1.47</v>
      </c>
      <c r="J17" s="69">
        <f>IF(I17="","",ROUND((2*9.8)/((353/(273+測定データ!$C$14))*I17^2),1))</f>
        <v>7.7</v>
      </c>
      <c r="K17" s="125">
        <f t="shared" si="1"/>
        <v>44.4</v>
      </c>
      <c r="L17" s="71" t="s">
        <v>71</v>
      </c>
      <c r="M17" s="72">
        <f t="shared" si="2"/>
        <v>0.59</v>
      </c>
    </row>
    <row r="18" spans="1:13" s="41" customFormat="1" ht="21.95" customHeight="1" thickBot="1" x14ac:dyDescent="0.2">
      <c r="A18" s="73">
        <v>12</v>
      </c>
      <c r="B18" s="74">
        <f>測定データ!A44</f>
        <v>1118.5</v>
      </c>
      <c r="C18" s="75">
        <f>測定データ!C44</f>
        <v>1180</v>
      </c>
      <c r="D18" s="186">
        <v>957</v>
      </c>
      <c r="E18" s="76">
        <f>測定データ!F44</f>
        <v>92</v>
      </c>
      <c r="F18" s="79">
        <f>ROUND(1/(0.36*((2*9.8)/(353/(273+測定データ!$C$14)))^0.5)*G18,1)</f>
        <v>33.9</v>
      </c>
      <c r="G18" s="77">
        <f>測定データ!D44</f>
        <v>49.8</v>
      </c>
      <c r="H18" s="76">
        <f>測定データ!E44</f>
        <v>1.7</v>
      </c>
      <c r="I18" s="78">
        <f t="shared" si="0"/>
        <v>1.5</v>
      </c>
      <c r="J18" s="78">
        <f>IF(I18="","",ROUND((2*9.8)/((353/(273+測定データ!$C$14))*I18^2),1))</f>
        <v>7.4</v>
      </c>
      <c r="K18" s="126">
        <f t="shared" si="1"/>
        <v>49.8</v>
      </c>
      <c r="L18" s="80" t="s">
        <v>71</v>
      </c>
      <c r="M18" s="81">
        <f t="shared" si="2"/>
        <v>0.59</v>
      </c>
    </row>
    <row r="19" spans="1:13" s="41" customFormat="1" ht="21.75" customHeight="1" x14ac:dyDescent="0.15">
      <c r="A19" s="82"/>
      <c r="B19" s="83"/>
      <c r="C19" s="83"/>
      <c r="D19" s="83"/>
      <c r="E19" s="84"/>
      <c r="F19" s="85"/>
      <c r="G19" s="85"/>
      <c r="H19" s="85"/>
      <c r="I19" s="86"/>
      <c r="J19" s="86"/>
      <c r="K19" s="83"/>
      <c r="L19" s="87"/>
      <c r="M19" s="187" t="s">
        <v>104</v>
      </c>
    </row>
    <row r="20" spans="1:13" s="41" customFormat="1" ht="21.95" customHeight="1" x14ac:dyDescent="0.15">
      <c r="A20" s="89"/>
    </row>
    <row r="26" spans="1:13" x14ac:dyDescent="0.15">
      <c r="E26" s="90"/>
      <c r="F26" s="90"/>
      <c r="G26" s="90"/>
      <c r="H26" s="90"/>
      <c r="I26" s="90"/>
      <c r="J26" s="90"/>
      <c r="K26" s="90"/>
      <c r="L26" s="90"/>
    </row>
    <row r="27" spans="1:13" x14ac:dyDescent="0.15">
      <c r="E27" s="90"/>
      <c r="F27" s="90"/>
      <c r="G27" s="90"/>
      <c r="H27" s="90"/>
      <c r="I27" s="90"/>
      <c r="J27" s="90"/>
      <c r="K27" s="90"/>
      <c r="L27" s="90"/>
    </row>
    <row r="45" spans="14:14" x14ac:dyDescent="0.15">
      <c r="N45" s="188" t="s">
        <v>106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26"/>
  <sheetViews>
    <sheetView showGridLines="0" topLeftCell="A13" workbookViewId="0">
      <selection activeCell="M19" sqref="M19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7" t="s">
        <v>18</v>
      </c>
      <c r="J1" s="240"/>
      <c r="K1" s="240"/>
      <c r="L1" s="240"/>
      <c r="M1" s="241"/>
      <c r="N1" s="239"/>
      <c r="O1" s="239"/>
      <c r="P1" s="239"/>
      <c r="Q1" s="239"/>
    </row>
    <row r="2" spans="1:17" ht="14.1" customHeight="1" x14ac:dyDescent="0.15">
      <c r="J2" s="240"/>
      <c r="K2" s="240"/>
      <c r="L2" s="240"/>
      <c r="M2" s="241"/>
      <c r="N2" s="174"/>
      <c r="O2" s="175"/>
      <c r="P2" s="175"/>
      <c r="Q2" s="175"/>
    </row>
    <row r="3" spans="1:17" s="91" customFormat="1" ht="14.1" customHeight="1" x14ac:dyDescent="0.15">
      <c r="B3" s="92"/>
      <c r="C3" s="93"/>
      <c r="D3" s="93"/>
      <c r="E3" s="93"/>
      <c r="F3" s="94" t="s">
        <v>2</v>
      </c>
      <c r="G3" s="242" t="str">
        <f>'PQ-SV068 MV91-13'!G25:H25</f>
        <v>PQ-SV068 MV91-13</v>
      </c>
      <c r="H3" s="243"/>
      <c r="J3" s="177"/>
      <c r="K3" s="177"/>
      <c r="L3" s="178"/>
      <c r="M3" s="177"/>
      <c r="N3" s="176"/>
      <c r="O3" s="176"/>
      <c r="P3" s="176"/>
      <c r="Q3" s="176"/>
    </row>
    <row r="4" spans="1:17" s="91" customFormat="1" ht="14.1" customHeight="1" x14ac:dyDescent="0.15">
      <c r="F4" s="94" t="s">
        <v>60</v>
      </c>
      <c r="G4" s="147">
        <f>測定データ!B10</f>
        <v>39381</v>
      </c>
      <c r="H4" s="95"/>
      <c r="J4" s="177"/>
      <c r="K4" s="177"/>
      <c r="L4" s="178"/>
      <c r="M4" s="177"/>
      <c r="N4" s="176"/>
      <c r="O4" s="176"/>
      <c r="P4" s="176"/>
      <c r="Q4" s="176"/>
    </row>
    <row r="5" spans="1:17" s="91" customFormat="1" ht="14.1" customHeight="1" x14ac:dyDescent="0.15">
      <c r="F5" s="136"/>
      <c r="G5" s="137"/>
      <c r="H5" s="137"/>
      <c r="J5" s="177"/>
      <c r="K5" s="177"/>
      <c r="L5" s="178"/>
      <c r="M5" s="177"/>
      <c r="N5" s="176"/>
      <c r="O5" s="176"/>
      <c r="P5" s="176"/>
      <c r="Q5" s="176"/>
    </row>
    <row r="6" spans="1:17" s="91" customFormat="1" ht="14.1" customHeight="1" thickBot="1" x14ac:dyDescent="0.2">
      <c r="A6" s="251"/>
      <c r="B6" s="252"/>
      <c r="C6" s="252"/>
      <c r="D6" s="252"/>
      <c r="E6" s="252"/>
      <c r="F6" s="252"/>
      <c r="G6" s="252"/>
      <c r="H6" s="252"/>
      <c r="J6" s="177"/>
      <c r="K6" s="177"/>
      <c r="L6" s="178"/>
      <c r="M6" s="177"/>
      <c r="N6" s="176"/>
      <c r="O6" s="176"/>
      <c r="P6" s="176"/>
      <c r="Q6" s="176"/>
    </row>
    <row r="7" spans="1:17" s="91" customFormat="1" ht="20.100000000000001" customHeight="1" x14ac:dyDescent="0.15">
      <c r="A7" s="247" t="s">
        <v>3</v>
      </c>
      <c r="B7" s="248"/>
      <c r="C7" s="256" t="str">
        <f>測定データ!B7</f>
        <v>トステム㈱殿　PROSE70 17開口用換気框　フィルター付</v>
      </c>
      <c r="D7" s="257"/>
      <c r="E7" s="257"/>
      <c r="F7" s="257"/>
      <c r="G7" s="257"/>
      <c r="H7" s="258"/>
      <c r="J7" s="177"/>
      <c r="K7" s="177"/>
      <c r="L7" s="178"/>
      <c r="M7" s="177"/>
      <c r="N7" s="176"/>
      <c r="O7" s="176"/>
      <c r="P7" s="176"/>
      <c r="Q7" s="176"/>
    </row>
    <row r="8" spans="1:17" s="91" customFormat="1" ht="20.100000000000001" customHeight="1" thickBot="1" x14ac:dyDescent="0.2">
      <c r="A8" s="249" t="s">
        <v>31</v>
      </c>
      <c r="B8" s="250"/>
      <c r="C8" s="259" t="str">
        <f>測定データ!B8</f>
        <v>SE70F-17</v>
      </c>
      <c r="D8" s="260"/>
      <c r="E8" s="260"/>
      <c r="F8" s="260"/>
      <c r="G8" s="260"/>
      <c r="H8" s="261"/>
      <c r="J8" s="177"/>
      <c r="K8" s="177"/>
      <c r="L8" s="178"/>
      <c r="M8" s="177"/>
      <c r="N8" s="176"/>
      <c r="O8" s="176"/>
      <c r="P8" s="176"/>
      <c r="Q8" s="176"/>
    </row>
    <row r="9" spans="1:17" s="91" customFormat="1" ht="20.100000000000001" customHeight="1" x14ac:dyDescent="0.15">
      <c r="A9" s="96" t="s">
        <v>79</v>
      </c>
      <c r="B9" s="97"/>
      <c r="C9" s="98" t="s">
        <v>84</v>
      </c>
      <c r="D9" s="99">
        <f>IF('PQ-SV068 MV91-13'!C19&lt;測定データ!A33,"製作範囲外",IF('PQ-SV068 MV91-13'!C19&gt;測定データ!C44,"製作範囲外",'PQ-SV068 MV91-13'!C19))</f>
        <v>800</v>
      </c>
      <c r="E9" s="100"/>
      <c r="F9" s="100"/>
      <c r="G9" s="100"/>
      <c r="H9" s="101" t="s">
        <v>68</v>
      </c>
      <c r="I9" s="1"/>
      <c r="J9" s="177"/>
      <c r="K9" s="177"/>
      <c r="L9" s="178"/>
      <c r="M9" s="177"/>
      <c r="N9" s="176"/>
      <c r="O9" s="176"/>
      <c r="P9" s="176"/>
      <c r="Q9" s="176"/>
    </row>
    <row r="10" spans="1:17" ht="20.100000000000001" customHeight="1" x14ac:dyDescent="0.15">
      <c r="A10" s="102" t="s">
        <v>4</v>
      </c>
      <c r="B10" s="4"/>
      <c r="C10" s="5" t="s">
        <v>69</v>
      </c>
      <c r="D10" s="103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4"/>
      <c r="F10" s="104"/>
      <c r="G10" s="104"/>
      <c r="H10" s="105" t="s">
        <v>70</v>
      </c>
      <c r="I10" s="122"/>
      <c r="J10" s="177"/>
      <c r="K10" s="177"/>
      <c r="L10" s="178"/>
      <c r="M10" s="177"/>
      <c r="N10" s="176"/>
      <c r="O10" s="176"/>
      <c r="P10" s="176"/>
      <c r="Q10" s="176"/>
    </row>
    <row r="11" spans="1:17" ht="20.100000000000001" customHeight="1" x14ac:dyDescent="0.15">
      <c r="A11" s="3" t="s">
        <v>7</v>
      </c>
      <c r="B11" s="4"/>
      <c r="C11" s="5" t="s">
        <v>50</v>
      </c>
      <c r="D11" s="6">
        <f>IF(D$9="","",IF(D$9="製作範囲外","",ROUND(1/(0.36*((2*9.8)/(353/(273+測定データ!C14)))^0.5)*D14,1)))</f>
        <v>21.9</v>
      </c>
      <c r="E11" s="7"/>
      <c r="F11" s="7"/>
      <c r="G11" s="7"/>
      <c r="H11" s="9" t="s">
        <v>51</v>
      </c>
      <c r="J11" s="177"/>
      <c r="K11" s="177"/>
      <c r="L11" s="178"/>
      <c r="M11" s="177"/>
      <c r="N11" s="176"/>
      <c r="O11" s="176"/>
      <c r="P11" s="176"/>
      <c r="Q11" s="176"/>
    </row>
    <row r="12" spans="1:17" s="91" customFormat="1" ht="20.100000000000001" customHeight="1" x14ac:dyDescent="0.15">
      <c r="A12" s="3" t="s">
        <v>0</v>
      </c>
      <c r="B12" s="4"/>
      <c r="C12" s="5" t="s">
        <v>52</v>
      </c>
      <c r="D12" s="6">
        <f>D14</f>
        <v>32.1</v>
      </c>
      <c r="E12" s="106" t="s">
        <v>53</v>
      </c>
      <c r="F12" s="107">
        <f>IF(D$9="","",IF(D$9="製作範囲外","",ROUND(1/D13,2)))</f>
        <v>0.63</v>
      </c>
      <c r="G12" s="108"/>
      <c r="H12" s="109" t="s">
        <v>54</v>
      </c>
      <c r="J12" s="177"/>
      <c r="K12" s="177"/>
      <c r="L12" s="178"/>
      <c r="M12" s="177"/>
      <c r="N12" s="176"/>
      <c r="O12" s="176"/>
      <c r="P12" s="176"/>
      <c r="Q12" s="176"/>
    </row>
    <row r="13" spans="1:17" ht="20.100000000000001" customHeight="1" x14ac:dyDescent="0.15">
      <c r="A13" s="102" t="s">
        <v>5</v>
      </c>
      <c r="B13" s="4"/>
      <c r="C13" s="5" t="s">
        <v>55</v>
      </c>
      <c r="D13" s="110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7"/>
      <c r="F13" s="7"/>
      <c r="G13" s="7"/>
      <c r="H13" s="8"/>
      <c r="J13" s="177"/>
      <c r="K13" s="177"/>
      <c r="L13" s="178"/>
      <c r="M13" s="177"/>
      <c r="N13" s="165"/>
      <c r="O13" s="165"/>
      <c r="P13" s="165"/>
      <c r="Q13" s="165"/>
    </row>
    <row r="14" spans="1:17" ht="20.100000000000001" customHeight="1" x14ac:dyDescent="0.15">
      <c r="A14" s="3" t="s">
        <v>6</v>
      </c>
      <c r="B14" s="4"/>
      <c r="C14" s="5" t="s">
        <v>56</v>
      </c>
      <c r="D14" s="6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7"/>
      <c r="F14" s="7"/>
      <c r="G14" s="7"/>
      <c r="H14" s="8" t="s">
        <v>57</v>
      </c>
      <c r="J14" s="177"/>
      <c r="K14" s="177"/>
      <c r="L14" s="178"/>
      <c r="M14" s="177"/>
      <c r="N14" s="165"/>
      <c r="O14" s="165"/>
      <c r="P14" s="165"/>
      <c r="Q14" s="165"/>
    </row>
    <row r="15" spans="1:17" ht="20.100000000000001" customHeight="1" x14ac:dyDescent="0.15">
      <c r="A15" s="3" t="s">
        <v>8</v>
      </c>
      <c r="B15" s="4"/>
      <c r="C15" s="5" t="s">
        <v>58</v>
      </c>
      <c r="D15" s="111">
        <f>IF(D$9="","",IF(D$9="製作範囲外","",ROUND(D11/D10,3)))</f>
        <v>0.34499999999999997</v>
      </c>
      <c r="E15" s="7"/>
      <c r="F15" s="7"/>
      <c r="G15" s="7"/>
      <c r="H15" s="112"/>
    </row>
    <row r="16" spans="1:17" ht="20.100000000000001" customHeight="1" x14ac:dyDescent="0.15">
      <c r="A16" s="3" t="s">
        <v>9</v>
      </c>
      <c r="B16" s="4"/>
      <c r="C16" s="5" t="s">
        <v>13</v>
      </c>
      <c r="D16" s="113">
        <f>IF(D$9="","",IF(D$9="製作範囲外","",ROUND(D14/(D10*0.0001)/3600,2)))</f>
        <v>1.4</v>
      </c>
      <c r="E16" s="114"/>
      <c r="F16" s="115"/>
      <c r="G16" s="115"/>
      <c r="H16" s="116" t="s">
        <v>14</v>
      </c>
    </row>
    <row r="17" spans="1:8" ht="20.100000000000001" customHeight="1" thickBot="1" x14ac:dyDescent="0.2">
      <c r="A17" s="10" t="s">
        <v>10</v>
      </c>
      <c r="B17" s="11"/>
      <c r="C17" s="12" t="s">
        <v>59</v>
      </c>
      <c r="D17" s="117">
        <f>IF(D$9="","",IF(D$9="製作範囲外","",ROUND((2*9.8)/((353/(273+測定データ!C14))*D16^2),2)))</f>
        <v>8.4700000000000006</v>
      </c>
      <c r="E17" s="118"/>
      <c r="F17" s="119"/>
      <c r="G17" s="119"/>
      <c r="H17" s="120"/>
    </row>
    <row r="18" spans="1:8" ht="20.100000000000001" customHeight="1" x14ac:dyDescent="0.15">
      <c r="A18" s="253" t="s">
        <v>1</v>
      </c>
      <c r="B18" s="254"/>
      <c r="C18" s="254"/>
      <c r="D18" s="254"/>
      <c r="E18" s="254"/>
      <c r="F18" s="254"/>
      <c r="G18" s="254"/>
      <c r="H18" s="255"/>
    </row>
    <row r="19" spans="1:8" ht="399.95" customHeight="1" thickBot="1" x14ac:dyDescent="0.2">
      <c r="A19" s="244"/>
      <c r="B19" s="245"/>
      <c r="C19" s="245"/>
      <c r="D19" s="245"/>
      <c r="E19" s="245"/>
      <c r="F19" s="245"/>
      <c r="G19" s="245"/>
      <c r="H19" s="246"/>
    </row>
    <row r="20" spans="1:8" ht="20.100000000000001" customHeight="1" x14ac:dyDescent="0.15"/>
    <row r="21" spans="1:8" ht="20.100000000000001" customHeight="1" x14ac:dyDescent="0.15">
      <c r="A21" s="13" t="s">
        <v>11</v>
      </c>
      <c r="B21" s="14">
        <v>0</v>
      </c>
      <c r="C21" s="15">
        <v>1</v>
      </c>
      <c r="D21" s="15">
        <v>3</v>
      </c>
      <c r="E21" s="15">
        <v>5</v>
      </c>
      <c r="F21" s="15">
        <v>10</v>
      </c>
      <c r="G21" s="15">
        <v>30</v>
      </c>
      <c r="H21" s="15">
        <v>50</v>
      </c>
    </row>
    <row r="22" spans="1:8" ht="20.100000000000001" customHeight="1" x14ac:dyDescent="0.15">
      <c r="A22" s="13" t="s">
        <v>12</v>
      </c>
      <c r="B22" s="16">
        <f>IF(ISERROR($D$14*(B21/9.8)^(1/$D$13)),0,$D$14*(B21/9.8)^(1/$D$13))</f>
        <v>0</v>
      </c>
      <c r="C22" s="16">
        <f t="shared" ref="C22:H22" si="0">IF(ISERROR($D$14*(C21/9.8)^(1/$D$13)),0,$D$14*(C21/9.8)^(1/$D$13))</f>
        <v>7.7088347332308551</v>
      </c>
      <c r="D22" s="16">
        <f t="shared" si="0"/>
        <v>15.317557500287936</v>
      </c>
      <c r="E22" s="16">
        <f t="shared" si="0"/>
        <v>21.078756541942774</v>
      </c>
      <c r="F22" s="16">
        <f t="shared" si="0"/>
        <v>32.507886525122593</v>
      </c>
      <c r="G22" s="16">
        <f t="shared" si="0"/>
        <v>64.593604389376779</v>
      </c>
      <c r="H22" s="16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zoomScaleNormal="100" workbookViewId="0">
      <selection activeCell="C19" sqref="C19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8" ht="27" customHeight="1" x14ac:dyDescent="0.15">
      <c r="A1" s="268" t="s">
        <v>116</v>
      </c>
      <c r="B1" s="268"/>
      <c r="C1" s="268"/>
      <c r="D1" s="268"/>
      <c r="E1" s="268"/>
      <c r="F1" s="267" t="s">
        <v>92</v>
      </c>
      <c r="G1" s="267"/>
      <c r="H1" s="267"/>
    </row>
    <row r="2" spans="1:8" ht="27" customHeight="1" x14ac:dyDescent="0.15">
      <c r="A2" s="271"/>
      <c r="B2" s="271"/>
      <c r="C2" s="271"/>
      <c r="D2" s="271"/>
      <c r="E2" s="271"/>
      <c r="F2" s="271"/>
      <c r="G2" s="271"/>
      <c r="H2" s="271"/>
    </row>
    <row r="3" spans="1:8" ht="27" customHeight="1" x14ac:dyDescent="0.15">
      <c r="A3" s="271"/>
      <c r="B3" s="271"/>
      <c r="C3" s="271"/>
      <c r="D3" s="271"/>
      <c r="E3" s="271"/>
      <c r="F3" s="271"/>
      <c r="G3" s="271"/>
      <c r="H3" s="271"/>
    </row>
    <row r="4" spans="1:8" ht="27" customHeight="1" x14ac:dyDescent="0.15">
      <c r="A4" s="271"/>
      <c r="B4" s="271"/>
      <c r="C4" s="271"/>
      <c r="D4" s="271"/>
      <c r="E4" s="271"/>
      <c r="F4" s="271"/>
      <c r="G4" s="271"/>
      <c r="H4" s="271"/>
    </row>
    <row r="5" spans="1:8" ht="27" customHeight="1" x14ac:dyDescent="0.15">
      <c r="A5" s="271"/>
      <c r="B5" s="271"/>
      <c r="C5" s="271"/>
      <c r="D5" s="271"/>
      <c r="E5" s="271"/>
      <c r="F5" s="271"/>
      <c r="G5" s="271"/>
      <c r="H5" s="271"/>
    </row>
    <row r="6" spans="1:8" ht="27" customHeight="1" x14ac:dyDescent="0.15">
      <c r="A6" s="271"/>
      <c r="B6" s="271"/>
      <c r="C6" s="271"/>
      <c r="D6" s="271"/>
      <c r="E6" s="271"/>
      <c r="F6" s="271"/>
      <c r="G6" s="271"/>
      <c r="H6" s="271"/>
    </row>
    <row r="7" spans="1:8" ht="27" customHeight="1" x14ac:dyDescent="0.15">
      <c r="A7" s="271"/>
      <c r="B7" s="271"/>
      <c r="C7" s="271"/>
      <c r="D7" s="271"/>
      <c r="E7" s="271"/>
      <c r="F7" s="271"/>
      <c r="G7" s="271"/>
      <c r="H7" s="271"/>
    </row>
    <row r="8" spans="1:8" ht="27" customHeight="1" x14ac:dyDescent="0.15">
      <c r="A8" s="271"/>
      <c r="B8" s="271"/>
      <c r="C8" s="271"/>
      <c r="D8" s="271"/>
      <c r="E8" s="271"/>
      <c r="F8" s="271"/>
      <c r="G8" s="271"/>
      <c r="H8" s="271"/>
    </row>
    <row r="9" spans="1:8" ht="27" customHeight="1" x14ac:dyDescent="0.15">
      <c r="A9" s="271"/>
      <c r="B9" s="271"/>
      <c r="C9" s="271"/>
      <c r="D9" s="271"/>
      <c r="E9" s="271"/>
      <c r="F9" s="271"/>
      <c r="G9" s="271"/>
      <c r="H9" s="271"/>
    </row>
    <row r="10" spans="1:8" ht="27" customHeight="1" x14ac:dyDescent="0.15">
      <c r="A10" s="271"/>
      <c r="B10" s="271"/>
      <c r="C10" s="271"/>
      <c r="D10" s="271"/>
      <c r="E10" s="271"/>
      <c r="F10" s="271"/>
      <c r="G10" s="271"/>
      <c r="H10" s="271"/>
    </row>
    <row r="11" spans="1:8" ht="27" customHeight="1" x14ac:dyDescent="0.15">
      <c r="A11" s="271"/>
      <c r="B11" s="271"/>
      <c r="C11" s="271"/>
      <c r="D11" s="271"/>
      <c r="E11" s="271"/>
      <c r="F11" s="271"/>
      <c r="G11" s="271"/>
      <c r="H11" s="271"/>
    </row>
    <row r="12" spans="1:8" ht="27" customHeight="1" x14ac:dyDescent="0.15">
      <c r="A12" s="271"/>
      <c r="B12" s="271"/>
      <c r="C12" s="271"/>
      <c r="D12" s="271"/>
      <c r="E12" s="271"/>
      <c r="F12" s="271"/>
      <c r="G12" s="271"/>
      <c r="H12" s="271"/>
    </row>
    <row r="13" spans="1:8" ht="27" customHeight="1" x14ac:dyDescent="0.15">
      <c r="A13" s="271"/>
      <c r="B13" s="271"/>
      <c r="C13" s="271"/>
      <c r="D13" s="271"/>
      <c r="E13" s="271"/>
      <c r="F13" s="271"/>
      <c r="G13" s="271"/>
      <c r="H13" s="271"/>
    </row>
    <row r="14" spans="1:8" ht="27" customHeight="1" x14ac:dyDescent="0.15">
      <c r="A14" s="271"/>
      <c r="B14" s="271"/>
      <c r="C14" s="271"/>
      <c r="D14" s="271"/>
      <c r="E14" s="271"/>
      <c r="F14" s="271"/>
      <c r="G14" s="271"/>
      <c r="H14" s="271"/>
    </row>
    <row r="15" spans="1:8" ht="27" customHeight="1" x14ac:dyDescent="0.15">
      <c r="A15" s="268" t="s">
        <v>108</v>
      </c>
      <c r="B15" s="268"/>
      <c r="C15" s="268"/>
      <c r="D15" s="268"/>
      <c r="E15" s="268"/>
      <c r="F15" s="268"/>
      <c r="G15" s="268"/>
      <c r="H15" s="268"/>
    </row>
    <row r="16" spans="1:8" ht="278.25" customHeight="1" x14ac:dyDescent="0.15">
      <c r="A16" s="269"/>
      <c r="B16" s="270"/>
      <c r="C16" s="270"/>
      <c r="D16" s="270"/>
      <c r="E16" s="270"/>
      <c r="F16" s="270"/>
      <c r="G16" s="270"/>
      <c r="H16" s="270"/>
    </row>
    <row r="17" spans="1:12" ht="27" customHeight="1" x14ac:dyDescent="0.15">
      <c r="A17" s="268" t="s">
        <v>113</v>
      </c>
      <c r="B17" s="268"/>
      <c r="C17" s="268"/>
      <c r="D17" s="268"/>
      <c r="E17" s="268"/>
      <c r="F17" s="268"/>
      <c r="G17" s="268"/>
      <c r="H17" s="268"/>
    </row>
    <row r="18" spans="1:12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12" ht="30" customHeight="1" x14ac:dyDescent="0.15">
      <c r="A19" s="273" t="s">
        <v>115</v>
      </c>
      <c r="B19" s="274"/>
      <c r="C19" s="205">
        <v>800</v>
      </c>
      <c r="D19" s="272" t="str">
        <f>IF(サイズ毎!$D$9="製作範囲外","左記寸法は製作範囲外です。","")</f>
        <v/>
      </c>
      <c r="E19" s="272"/>
      <c r="F19" s="272"/>
      <c r="G19" s="272"/>
      <c r="H19" s="204" t="s">
        <v>114</v>
      </c>
      <c r="J19" s="163"/>
    </row>
    <row r="20" spans="1:12" ht="15.75" customHeight="1" x14ac:dyDescent="0.15">
      <c r="A20" s="262" t="s">
        <v>6</v>
      </c>
      <c r="B20" s="263"/>
      <c r="C20" s="196" t="s">
        <v>63</v>
      </c>
      <c r="D20" s="198">
        <f>サイズ毎!D14</f>
        <v>32.1</v>
      </c>
      <c r="E20" s="141"/>
      <c r="F20" s="141"/>
      <c r="G20" s="141"/>
      <c r="H20" s="199" t="s">
        <v>54</v>
      </c>
      <c r="J20" s="163"/>
    </row>
    <row r="21" spans="1:12" ht="15.75" customHeight="1" x14ac:dyDescent="0.15">
      <c r="A21" s="262" t="s">
        <v>4</v>
      </c>
      <c r="B21" s="263"/>
      <c r="C21" s="196" t="s">
        <v>69</v>
      </c>
      <c r="D21" s="198">
        <f>サイズ毎!D10</f>
        <v>63.5</v>
      </c>
      <c r="E21" s="141"/>
      <c r="F21" s="141"/>
      <c r="G21" s="141"/>
      <c r="H21" s="200" t="s">
        <v>109</v>
      </c>
      <c r="J21" s="163"/>
      <c r="L21" s="1" t="s">
        <v>67</v>
      </c>
    </row>
    <row r="22" spans="1:12" ht="15.75" customHeight="1" x14ac:dyDescent="0.15">
      <c r="A22" s="262" t="s">
        <v>7</v>
      </c>
      <c r="B22" s="263"/>
      <c r="C22" s="196" t="s">
        <v>64</v>
      </c>
      <c r="D22" s="198">
        <f>サイズ毎!D11</f>
        <v>21.9</v>
      </c>
      <c r="E22" s="141"/>
      <c r="F22" s="141"/>
      <c r="G22" s="141"/>
      <c r="H22" s="200" t="s">
        <v>109</v>
      </c>
      <c r="J22" s="163"/>
    </row>
    <row r="23" spans="1:12" ht="15.75" customHeight="1" thickBot="1" x14ac:dyDescent="0.2">
      <c r="A23" s="264" t="s">
        <v>0</v>
      </c>
      <c r="B23" s="265"/>
      <c r="C23" s="197" t="s">
        <v>52</v>
      </c>
      <c r="D23" s="201">
        <f>D20</f>
        <v>32.1</v>
      </c>
      <c r="E23" s="202" t="s">
        <v>110</v>
      </c>
      <c r="F23" s="142">
        <f>サイズ毎!F12</f>
        <v>0.63</v>
      </c>
      <c r="G23" s="143"/>
      <c r="H23" s="203" t="s">
        <v>111</v>
      </c>
      <c r="J23" s="164"/>
    </row>
    <row r="24" spans="1:12" ht="14.25" customHeight="1" x14ac:dyDescent="0.15"/>
    <row r="25" spans="1:12" ht="14.25" customHeight="1" x14ac:dyDescent="0.15">
      <c r="B25" s="195"/>
      <c r="C25" s="195" t="s">
        <v>112</v>
      </c>
      <c r="D25" s="195"/>
      <c r="E25" s="195"/>
      <c r="F25" s="195"/>
      <c r="G25" s="266" t="s">
        <v>107</v>
      </c>
      <c r="H25" s="266"/>
    </row>
    <row r="26" spans="1:12" x14ac:dyDescent="0.15">
      <c r="A26" s="189"/>
      <c r="B26" s="189"/>
      <c r="C26" s="189"/>
      <c r="D26" s="189"/>
      <c r="E26" s="189"/>
      <c r="F26" s="189"/>
      <c r="G26" s="189"/>
      <c r="H26" s="189"/>
      <c r="I26" s="189"/>
    </row>
    <row r="27" spans="1:12" ht="14.25" x14ac:dyDescent="0.15">
      <c r="A27" s="190" t="s">
        <v>11</v>
      </c>
      <c r="B27" s="191">
        <v>0</v>
      </c>
      <c r="C27" s="192">
        <v>1</v>
      </c>
      <c r="D27" s="192">
        <v>3</v>
      </c>
      <c r="E27" s="192">
        <v>5</v>
      </c>
      <c r="F27" s="192">
        <v>10</v>
      </c>
      <c r="G27" s="192">
        <v>30</v>
      </c>
      <c r="H27" s="192">
        <v>50</v>
      </c>
      <c r="I27" s="189"/>
    </row>
    <row r="28" spans="1:12" ht="14.25" x14ac:dyDescent="0.15">
      <c r="A28" s="190" t="s">
        <v>12</v>
      </c>
      <c r="B28" s="193">
        <f t="shared" ref="B28:H28" si="0">IF(ISERROR($D$20*(B27/9.8)^($F$23)),0,$D$20*(B27/9.8)^($F$23))</f>
        <v>0</v>
      </c>
      <c r="C28" s="193">
        <f t="shared" si="0"/>
        <v>7.6213622536072441</v>
      </c>
      <c r="D28" s="193">
        <f t="shared" si="0"/>
        <v>15.227162947466738</v>
      </c>
      <c r="E28" s="193">
        <f t="shared" si="0"/>
        <v>21.007951564700129</v>
      </c>
      <c r="F28" s="193">
        <f t="shared" si="0"/>
        <v>32.511170427563997</v>
      </c>
      <c r="G28" s="193">
        <f t="shared" si="0"/>
        <v>64.955958428438024</v>
      </c>
      <c r="H28" s="193">
        <f t="shared" si="0"/>
        <v>89.615618694769466</v>
      </c>
      <c r="I28" s="189"/>
    </row>
    <row r="29" spans="1:12" x14ac:dyDescent="0.15">
      <c r="A29" s="189"/>
      <c r="B29" s="189"/>
      <c r="C29" s="189"/>
      <c r="D29" s="189"/>
      <c r="E29" s="189"/>
      <c r="F29" s="189"/>
      <c r="G29" s="189"/>
      <c r="H29" s="189"/>
      <c r="I29" s="189"/>
    </row>
    <row r="30" spans="1:12" x14ac:dyDescent="0.15">
      <c r="A30" s="194" t="s">
        <v>65</v>
      </c>
      <c r="B30" s="189"/>
      <c r="C30" s="189"/>
      <c r="D30" s="189"/>
      <c r="E30" s="189"/>
      <c r="F30" s="189"/>
      <c r="G30" s="189"/>
      <c r="H30" s="189"/>
      <c r="I30" s="189"/>
    </row>
    <row r="31" spans="1:12" x14ac:dyDescent="0.15">
      <c r="A31" s="194" t="s">
        <v>66</v>
      </c>
      <c r="B31" s="189"/>
      <c r="C31" s="189"/>
      <c r="D31" s="189"/>
      <c r="E31" s="189"/>
      <c r="F31" s="189"/>
      <c r="G31" s="189"/>
      <c r="H31" s="189"/>
      <c r="I31" s="189"/>
    </row>
    <row r="32" spans="1:12" x14ac:dyDescent="0.15">
      <c r="A32" s="189"/>
      <c r="B32" s="189"/>
      <c r="C32" s="189"/>
      <c r="D32" s="189"/>
      <c r="E32" s="189"/>
      <c r="F32" s="189"/>
      <c r="G32" s="189"/>
      <c r="H32" s="189"/>
      <c r="I32" s="189"/>
    </row>
  </sheetData>
  <sheetProtection algorithmName="SHA-512" hashValue="r9dZtS6SoRX+1F6secZmn+wMeCCkrjPSSQt7TWdZwobS4iO/PzzrKnDSvAHaAVt0mG8Krk021bkGEl/0bisjXw==" saltValue="o3QYldFm7CyyjX/FPQrh4g==" spinCount="100000" sheet="1" objects="1" scenarios="1" selectLockedCells="1"/>
  <mergeCells count="13">
    <mergeCell ref="A22:B22"/>
    <mergeCell ref="A23:B23"/>
    <mergeCell ref="G25:H25"/>
    <mergeCell ref="F1:H1"/>
    <mergeCell ref="A1:E1"/>
    <mergeCell ref="A20:B20"/>
    <mergeCell ref="A21:B21"/>
    <mergeCell ref="A17:H17"/>
    <mergeCell ref="A15:H15"/>
    <mergeCell ref="A16:H16"/>
    <mergeCell ref="A2:H14"/>
    <mergeCell ref="D19:G19"/>
    <mergeCell ref="A19:B19"/>
  </mergeCells>
  <phoneticPr fontId="1"/>
  <dataValidations count="1">
    <dataValidation type="decimal" allowBlank="1" showInputMessage="1" showErrorMessage="1" error="製作範囲外です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MV91-13</vt:lpstr>
      <vt:lpstr>'PQ-SV068 MV91-13'!Print_Area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2020-08-23T23:39:31Z</cp:lastPrinted>
  <dcterms:created xsi:type="dcterms:W3CDTF">1999-11-18T07:30:21Z</dcterms:created>
  <dcterms:modified xsi:type="dcterms:W3CDTF">2022-04-25T23:59:59Z</dcterms:modified>
</cp:coreProperties>
</file>