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.10\80共有掲示板\◆　6 共有80登録データ（設計NASサーバー複写）\◆　技術資料（PQデータ）お客様提出資料\佐原ホームページ登録データ（複写）\"/>
    </mc:Choice>
  </mc:AlternateContent>
  <xr:revisionPtr revIDLastSave="0" documentId="11_88CD00E0C318984AA7EDC717CE9B81D23C3189ED" xr6:coauthVersionLast="47" xr6:coauthVersionMax="47" xr10:uidLastSave="{00000000-0000-0000-0000-000000000000}"/>
  <workbookProtection workbookAlgorithmName="SHA-512" workbookHashValue="TiN6VLV18kNDjEiWs5zFAFdXG/oZXsBJbylH1ToPM8uHPv3XPRC3dx2LiP5gIC9jT978MTvIXzzAQOb9tHWDHA==" workbookSaltValue="e284luiCkSFb9AVvDA0NNQ==" workbookSpinCount="100000" lockStructure="1"/>
  <bookViews>
    <workbookView xWindow="0" yWindow="0" windowWidth="28800" windowHeight="14010" firstSheet="3" activeTab="3" xr2:uid="{00000000-000D-0000-FFFF-FFFF00000000}"/>
  </bookViews>
  <sheets>
    <sheet name="測定データ" sheetId="52220" state="hidden" r:id="rId1"/>
    <sheet name="一覧表" sheetId="52240" state="hidden" r:id="rId2"/>
    <sheet name="サイズ毎" sheetId="52241" state="hidden" r:id="rId3"/>
    <sheet name="PQ-SV011 SV605-9" sheetId="52242" r:id="rId4"/>
  </sheets>
  <definedNames>
    <definedName name="_xlnm.Print_Area" localSheetId="3">'PQ-SV011 SV605-9'!$A$1:$H$26</definedName>
    <definedName name="_xlnm.Print_Area" localSheetId="2">サイズ毎!$A$1:$H$19</definedName>
    <definedName name="_xlnm.Print_Area" localSheetId="1">一覧表!$A$1:$L$16</definedName>
  </definedNames>
  <calcPr calcId="162913"/>
</workbook>
</file>

<file path=xl/calcChain.xml><?xml version="1.0" encoding="utf-8"?>
<calcChain xmlns="http://schemas.openxmlformats.org/spreadsheetml/2006/main">
  <c r="D9" i="52241" l="1"/>
  <c r="D20" i="52242" s="1"/>
  <c r="D14" i="52241" l="1"/>
  <c r="C25" i="52220"/>
  <c r="C10" i="52240" s="1"/>
  <c r="C26" i="52220"/>
  <c r="C11" i="52240" s="1"/>
  <c r="C27" i="52220"/>
  <c r="C8" i="52241"/>
  <c r="C7" i="52241"/>
  <c r="G5" i="52241"/>
  <c r="G4" i="52241"/>
  <c r="B11" i="52240"/>
  <c r="B10" i="52240"/>
  <c r="J4" i="52240"/>
  <c r="C4" i="52240"/>
  <c r="C3" i="52240"/>
  <c r="J1" i="52240"/>
  <c r="D10" i="52240"/>
  <c r="D11" i="52240"/>
  <c r="D14" i="52240"/>
  <c r="D13" i="52240"/>
  <c r="G13" i="52240" s="1"/>
  <c r="I13" i="52240" s="1"/>
  <c r="D12" i="52240"/>
  <c r="B12" i="52240"/>
  <c r="B13" i="52240"/>
  <c r="B14" i="52240"/>
  <c r="C14" i="52240"/>
  <c r="C12" i="52240"/>
  <c r="C28" i="52220"/>
  <c r="B28" i="52220"/>
  <c r="B25" i="52220"/>
  <c r="D25" i="52220" s="1"/>
  <c r="B27" i="52220"/>
  <c r="E27" i="52220"/>
  <c r="F12" i="52240"/>
  <c r="L12" i="52240" s="1"/>
  <c r="B29" i="52220"/>
  <c r="E29" i="52220"/>
  <c r="F14" i="52240" s="1"/>
  <c r="L14" i="52240" s="1"/>
  <c r="D29" i="52220"/>
  <c r="H29" i="52220"/>
  <c r="E14" i="52240"/>
  <c r="G14" i="52240" s="1"/>
  <c r="I14" i="52240" s="1"/>
  <c r="D28" i="52220"/>
  <c r="H28" i="52220" s="1"/>
  <c r="E28" i="52220"/>
  <c r="F13" i="52240" s="1"/>
  <c r="L13" i="52240" s="1"/>
  <c r="D27" i="52220"/>
  <c r="E12" i="52240" s="1"/>
  <c r="C13" i="52240"/>
  <c r="E25" i="52220"/>
  <c r="F10" i="52240" s="1"/>
  <c r="L10" i="52240" s="1"/>
  <c r="E13" i="52240"/>
  <c r="J13" i="52240" s="1"/>
  <c r="H27" i="52220"/>
  <c r="H13" i="52240"/>
  <c r="G10" i="52240" l="1"/>
  <c r="I10" i="52240" s="1"/>
  <c r="J12" i="52240"/>
  <c r="H12" i="52240"/>
  <c r="G12" i="52240"/>
  <c r="I12" i="52240" s="1"/>
  <c r="E10" i="52240"/>
  <c r="H25" i="52220"/>
  <c r="B26" i="52220"/>
  <c r="D10" i="52241"/>
  <c r="D22" i="52242" s="1"/>
  <c r="J14" i="52240"/>
  <c r="H14" i="52240"/>
  <c r="D11" i="52241"/>
  <c r="D21" i="52242"/>
  <c r="D12" i="52241"/>
  <c r="D13" i="52241"/>
  <c r="E22" i="52241" s="1"/>
  <c r="E26" i="52220" l="1"/>
  <c r="F11" i="52240" s="1"/>
  <c r="L11" i="52240" s="1"/>
  <c r="D26" i="52220"/>
  <c r="H10" i="52240"/>
  <c r="J10" i="52240"/>
  <c r="D16" i="52241"/>
  <c r="D17" i="52241" s="1"/>
  <c r="D24" i="52242"/>
  <c r="H22" i="52241"/>
  <c r="D23" i="52242"/>
  <c r="D15" i="52241"/>
  <c r="B22" i="52241"/>
  <c r="D22" i="52241"/>
  <c r="C22" i="52241"/>
  <c r="F24" i="52242"/>
  <c r="E29" i="52242" s="1"/>
  <c r="F12" i="52241"/>
  <c r="G22" i="52241"/>
  <c r="F22" i="52241"/>
  <c r="E11" i="52240" l="1"/>
  <c r="H26" i="52220"/>
  <c r="G29" i="52242"/>
  <c r="B29" i="52242"/>
  <c r="D29" i="52242"/>
  <c r="C29" i="52242"/>
  <c r="H29" i="52242"/>
  <c r="F29" i="52242"/>
  <c r="J11" i="52240" l="1"/>
  <c r="H11" i="52240"/>
  <c r="G11" i="52240"/>
  <c r="I11" i="52240" s="1"/>
</calcChain>
</file>

<file path=xl/sharedStrings.xml><?xml version="1.0" encoding="utf-8"?>
<sst xmlns="http://schemas.openxmlformats.org/spreadsheetml/2006/main" count="137" uniqueCount="104">
  <si>
    <t>手順</t>
    <rPh sb="0" eb="2">
      <t>テジュン</t>
    </rPh>
    <phoneticPr fontId="1"/>
  </si>
  <si>
    <t>①　黄色部に商品名／測定データ／サイズ範囲を記入</t>
    <rPh sb="2" eb="4">
      <t>キイロ</t>
    </rPh>
    <rPh sb="4" eb="5">
      <t>ブ</t>
    </rPh>
    <rPh sb="6" eb="8">
      <t>ショウヒン</t>
    </rPh>
    <rPh sb="8" eb="9">
      <t>メイ</t>
    </rPh>
    <rPh sb="10" eb="12">
      <t>ソクテイ</t>
    </rPh>
    <rPh sb="19" eb="21">
      <t>ハンイ</t>
    </rPh>
    <rPh sb="22" eb="24">
      <t>キニュウ</t>
    </rPh>
    <phoneticPr fontId="1"/>
  </si>
  <si>
    <t>社内資料</t>
    <rPh sb="0" eb="2">
      <t>シャナイ</t>
    </rPh>
    <rPh sb="2" eb="4">
      <t>シリョウ</t>
    </rPh>
    <phoneticPr fontId="1"/>
  </si>
  <si>
    <t>②　グラフ青部の式を計算値青部に置き換える</t>
    <rPh sb="5" eb="6">
      <t>アオ</t>
    </rPh>
    <rPh sb="6" eb="7">
      <t>ブ</t>
    </rPh>
    <rPh sb="8" eb="9">
      <t>シキ</t>
    </rPh>
    <rPh sb="10" eb="12">
      <t>ケイサン</t>
    </rPh>
    <rPh sb="12" eb="13">
      <t>チ</t>
    </rPh>
    <rPh sb="13" eb="14">
      <t>アオ</t>
    </rPh>
    <rPh sb="14" eb="15">
      <t>ブ</t>
    </rPh>
    <rPh sb="16" eb="17">
      <t>オ</t>
    </rPh>
    <rPh sb="18" eb="19">
      <t>カ</t>
    </rPh>
    <phoneticPr fontId="1"/>
  </si>
  <si>
    <t>③　グラフ緑部の式を計算値緑部に置き換える　（ｎ範囲注意）</t>
    <rPh sb="5" eb="6">
      <t>ミドリ</t>
    </rPh>
    <rPh sb="6" eb="7">
      <t>ブ</t>
    </rPh>
    <rPh sb="8" eb="9">
      <t>シキ</t>
    </rPh>
    <rPh sb="10" eb="12">
      <t>ケイサン</t>
    </rPh>
    <rPh sb="12" eb="13">
      <t>チ</t>
    </rPh>
    <rPh sb="13" eb="14">
      <t>ミドリ</t>
    </rPh>
    <rPh sb="14" eb="15">
      <t>ブ</t>
    </rPh>
    <rPh sb="16" eb="17">
      <t>オ</t>
    </rPh>
    <rPh sb="18" eb="19">
      <t>カ</t>
    </rPh>
    <rPh sb="24" eb="26">
      <t>ハンイ</t>
    </rPh>
    <rPh sb="26" eb="28">
      <t>チュウイ</t>
    </rPh>
    <phoneticPr fontId="1"/>
  </si>
  <si>
    <t>④　計算値表オレンジ部通気面積を記入</t>
    <rPh sb="2" eb="5">
      <t>ケイサンチ</t>
    </rPh>
    <rPh sb="5" eb="6">
      <t>ヒョウ</t>
    </rPh>
    <rPh sb="10" eb="11">
      <t>ブ</t>
    </rPh>
    <rPh sb="11" eb="13">
      <t>ツウキ</t>
    </rPh>
    <rPh sb="13" eb="15">
      <t>メンセキ</t>
    </rPh>
    <rPh sb="16" eb="18">
      <t>キニュウ</t>
    </rPh>
    <phoneticPr fontId="1"/>
  </si>
  <si>
    <t>商品名</t>
    <rPh sb="0" eb="3">
      <t>ショウヒンメイ</t>
    </rPh>
    <phoneticPr fontId="1"/>
  </si>
  <si>
    <t>名　　称</t>
    <rPh sb="0" eb="1">
      <t>メイ</t>
    </rPh>
    <rPh sb="3" eb="4">
      <t>ショウ</t>
    </rPh>
    <phoneticPr fontId="1"/>
  </si>
  <si>
    <t>湯快ルーバーブレス</t>
    <rPh sb="0" eb="1">
      <t>ユ</t>
    </rPh>
    <rPh sb="1" eb="2">
      <t>カイ</t>
    </rPh>
    <phoneticPr fontId="1"/>
  </si>
  <si>
    <t>公称記号</t>
    <rPh sb="0" eb="2">
      <t>コウショウ</t>
    </rPh>
    <rPh sb="2" eb="4">
      <t>キゴウ</t>
    </rPh>
    <phoneticPr fontId="1"/>
  </si>
  <si>
    <t>ＳＶ６０５－９</t>
    <phoneticPr fontId="1"/>
  </si>
  <si>
    <t>資料担当</t>
    <rPh sb="0" eb="2">
      <t>シリョウ</t>
    </rPh>
    <rPh sb="2" eb="4">
      <t>タントウ</t>
    </rPh>
    <phoneticPr fontId="1"/>
  </si>
  <si>
    <t>小野寺</t>
    <rPh sb="0" eb="3">
      <t>オノデラ</t>
    </rPh>
    <phoneticPr fontId="1"/>
  </si>
  <si>
    <t>作成日</t>
    <rPh sb="0" eb="3">
      <t>サクセイビ</t>
    </rPh>
    <phoneticPr fontId="1"/>
  </si>
  <si>
    <t>２００４，　５，１４</t>
    <phoneticPr fontId="1"/>
  </si>
  <si>
    <t>測定日</t>
    <rPh sb="0" eb="2">
      <t>ソクテイ</t>
    </rPh>
    <rPh sb="2" eb="3">
      <t>ビ</t>
    </rPh>
    <phoneticPr fontId="1"/>
  </si>
  <si>
    <t>２００４，　６，　２</t>
    <phoneticPr fontId="1"/>
  </si>
  <si>
    <t>測定値</t>
    <rPh sb="0" eb="3">
      <t>ソクテイチ</t>
    </rPh>
    <phoneticPr fontId="1"/>
  </si>
  <si>
    <t>Ｗ(mm)</t>
    <phoneticPr fontId="1"/>
  </si>
  <si>
    <t>通気率ａ</t>
    <rPh sb="0" eb="1">
      <t>ツウ</t>
    </rPh>
    <rPh sb="1" eb="2">
      <t>キ</t>
    </rPh>
    <rPh sb="2" eb="3">
      <t>リツ</t>
    </rPh>
    <phoneticPr fontId="1"/>
  </si>
  <si>
    <t>隙間特性値ｎ</t>
    <rPh sb="0" eb="2">
      <t>スキマ</t>
    </rPh>
    <rPh sb="2" eb="4">
      <t>トクセイ</t>
    </rPh>
    <rPh sb="4" eb="5">
      <t>チ</t>
    </rPh>
    <phoneticPr fontId="1"/>
  </si>
  <si>
    <t xml:space="preserve">室内温度(℃）  </t>
    <rPh sb="0" eb="2">
      <t>シツナイ</t>
    </rPh>
    <rPh sb="2" eb="4">
      <t>オンド</t>
    </rPh>
    <phoneticPr fontId="1"/>
  </si>
  <si>
    <t>計算値</t>
    <rPh sb="0" eb="3">
      <t>ケイサンチ</t>
    </rPh>
    <phoneticPr fontId="1"/>
  </si>
  <si>
    <t>グラフより</t>
    <phoneticPr fontId="1"/>
  </si>
  <si>
    <t>Ｗ-ａ関係式</t>
    <rPh sb="3" eb="5">
      <t>カンケイ</t>
    </rPh>
    <rPh sb="5" eb="6">
      <t>シキ</t>
    </rPh>
    <phoneticPr fontId="1"/>
  </si>
  <si>
    <t>ｙ＝</t>
    <phoneticPr fontId="1"/>
  </si>
  <si>
    <t>ｘ</t>
    <phoneticPr fontId="1"/>
  </si>
  <si>
    <t>Ｗ-ｎ関係式</t>
    <rPh sb="3" eb="5">
      <t>カンケイ</t>
    </rPh>
    <rPh sb="5" eb="6">
      <t>シキ</t>
    </rPh>
    <phoneticPr fontId="1"/>
  </si>
  <si>
    <t>1≦ｎ≦２</t>
    <phoneticPr fontId="1"/>
  </si>
  <si>
    <t>通気面積(cm2)</t>
    <rPh sb="0" eb="2">
      <t>ツウキ</t>
    </rPh>
    <rPh sb="2" eb="4">
      <t>メンセキ</t>
    </rPh>
    <phoneticPr fontId="1"/>
  </si>
  <si>
    <t>０．５回／ｈｒ　            対応畳数</t>
    <rPh sb="3" eb="4">
      <t>カイ</t>
    </rPh>
    <rPh sb="20" eb="22">
      <t>タイオウ</t>
    </rPh>
    <rPh sb="22" eb="23">
      <t>タタミ</t>
    </rPh>
    <rPh sb="23" eb="24">
      <t>カズ</t>
    </rPh>
    <phoneticPr fontId="1"/>
  </si>
  <si>
    <t>＊　天井高２．７ｍ及び⊿Ｐ＝９.８Ｐａで計算</t>
    <rPh sb="2" eb="4">
      <t>テンジョウ</t>
    </rPh>
    <rPh sb="4" eb="5">
      <t>タカ</t>
    </rPh>
    <rPh sb="9" eb="10">
      <t>オヨ</t>
    </rPh>
    <rPh sb="20" eb="22">
      <t>ケイサン</t>
    </rPh>
    <phoneticPr fontId="1"/>
  </si>
  <si>
    <t>以上</t>
    <rPh sb="0" eb="2">
      <t>イジョウ</t>
    </rPh>
    <phoneticPr fontId="1"/>
  </si>
  <si>
    <t>範囲中央</t>
    <rPh sb="0" eb="2">
      <t>ハンイ</t>
    </rPh>
    <rPh sb="2" eb="4">
      <t>チュウオウ</t>
    </rPh>
    <phoneticPr fontId="1"/>
  </si>
  <si>
    <t>以下</t>
    <rPh sb="0" eb="2">
      <t>イカ</t>
    </rPh>
    <phoneticPr fontId="1"/>
  </si>
  <si>
    <t>換気框通気性能</t>
    <rPh sb="0" eb="2">
      <t>カンキ</t>
    </rPh>
    <rPh sb="2" eb="3">
      <t>カマチ</t>
    </rPh>
    <rPh sb="3" eb="5">
      <t>ツウキ</t>
    </rPh>
    <rPh sb="5" eb="7">
      <t>セイノウ</t>
    </rPh>
    <phoneticPr fontId="1"/>
  </si>
  <si>
    <t>名称</t>
    <rPh sb="0" eb="2">
      <t>メイショウ</t>
    </rPh>
    <phoneticPr fontId="1"/>
  </si>
  <si>
    <t>設計開発部　設計課</t>
    <rPh sb="0" eb="2">
      <t>セッケイ</t>
    </rPh>
    <rPh sb="2" eb="5">
      <t>カイハツブ</t>
    </rPh>
    <rPh sb="6" eb="8">
      <t>セッケイ</t>
    </rPh>
    <rPh sb="8" eb="9">
      <t>カ</t>
    </rPh>
    <phoneticPr fontId="1"/>
  </si>
  <si>
    <t>No．</t>
    <phoneticPr fontId="1"/>
  </si>
  <si>
    <t>製品長さ</t>
    <rPh sb="0" eb="2">
      <t>セイヒン</t>
    </rPh>
    <rPh sb="2" eb="3">
      <t>ナガ</t>
    </rPh>
    <phoneticPr fontId="1"/>
  </si>
  <si>
    <t>通気面積</t>
    <rPh sb="0" eb="2">
      <t>ツウキ</t>
    </rPh>
    <rPh sb="2" eb="4">
      <t>メンセキ</t>
    </rPh>
    <phoneticPr fontId="1"/>
  </si>
  <si>
    <t>通気率</t>
    <rPh sb="0" eb="2">
      <t>ツウキ</t>
    </rPh>
    <rPh sb="2" eb="3">
      <t>リツ</t>
    </rPh>
    <phoneticPr fontId="1"/>
  </si>
  <si>
    <t>隙間　　　　　　　　　特性値</t>
    <rPh sb="0" eb="2">
      <t>スキマ</t>
    </rPh>
    <rPh sb="11" eb="13">
      <t>トクセイ</t>
    </rPh>
    <rPh sb="13" eb="14">
      <t>チ</t>
    </rPh>
    <phoneticPr fontId="1"/>
  </si>
  <si>
    <t>相当風速</t>
    <rPh sb="0" eb="2">
      <t>ソウトウ</t>
    </rPh>
    <rPh sb="2" eb="4">
      <t>フウソク</t>
    </rPh>
    <phoneticPr fontId="1"/>
  </si>
  <si>
    <t>有効開口面積</t>
    <rPh sb="0" eb="2">
      <t>ユウコウ</t>
    </rPh>
    <rPh sb="2" eb="4">
      <t>カイコウ</t>
    </rPh>
    <rPh sb="4" eb="6">
      <t>メンセキ</t>
    </rPh>
    <phoneticPr fontId="1"/>
  </si>
  <si>
    <t>圧力損失係数</t>
    <rPh sb="0" eb="2">
      <t>アツリョク</t>
    </rPh>
    <rPh sb="2" eb="4">
      <t>ソンシツ</t>
    </rPh>
    <rPh sb="4" eb="6">
      <t>ケイスウ</t>
    </rPh>
    <phoneticPr fontId="1"/>
  </si>
  <si>
    <t>通気量</t>
    <rPh sb="0" eb="2">
      <t>ツウキ</t>
    </rPh>
    <rPh sb="2" eb="3">
      <t>リョウ</t>
    </rPh>
    <phoneticPr fontId="1"/>
  </si>
  <si>
    <t>Ｗ</t>
    <phoneticPr fontId="1"/>
  </si>
  <si>
    <t>Ａ</t>
    <phoneticPr fontId="1"/>
  </si>
  <si>
    <t>ａ</t>
    <phoneticPr fontId="1"/>
  </si>
  <si>
    <t>ｎ</t>
    <phoneticPr fontId="1"/>
  </si>
  <si>
    <t>Ｖ</t>
    <phoneticPr fontId="1"/>
  </si>
  <si>
    <t>αＡ</t>
    <phoneticPr fontId="1"/>
  </si>
  <si>
    <t>ζ</t>
    <phoneticPr fontId="1"/>
  </si>
  <si>
    <t>Ｑ</t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</si>
  <si>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</si>
  <si>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</si>
  <si>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r>
      <t>（cm</t>
    </r>
    <r>
      <rPr>
        <vertAlign val="super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)</t>
    </r>
    <phoneticPr fontId="1"/>
  </si>
  <si>
    <r>
      <t>(m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/hr・9.8Pa)</t>
    </r>
    <phoneticPr fontId="1"/>
  </si>
  <si>
    <t>(m/s・9.8Pa)</t>
    <phoneticPr fontId="1"/>
  </si>
  <si>
    <r>
      <t>(m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/hr)</t>
    </r>
    <phoneticPr fontId="1"/>
  </si>
  <si>
    <t>（⊿Ｐ／９．８）</t>
    <phoneticPr fontId="1"/>
  </si>
  <si>
    <t>（⊿Ｐ／９．８）</t>
  </si>
  <si>
    <t>＊　測定結果は各サイズ区分の代表値としてください。</t>
    <rPh sb="2" eb="4">
      <t>ソクテイ</t>
    </rPh>
    <rPh sb="4" eb="6">
      <t>ケッカ</t>
    </rPh>
    <rPh sb="7" eb="8">
      <t>カク</t>
    </rPh>
    <rPh sb="11" eb="13">
      <t>クブン</t>
    </rPh>
    <rPh sb="14" eb="16">
      <t>ダイヒョウ</t>
    </rPh>
    <rPh sb="16" eb="17">
      <t>アタイ</t>
    </rPh>
    <phoneticPr fontId="1"/>
  </si>
  <si>
    <t>管理番号</t>
    <rPh sb="0" eb="2">
      <t>カンリ</t>
    </rPh>
    <rPh sb="2" eb="4">
      <t>バンゴウ</t>
    </rPh>
    <phoneticPr fontId="1"/>
  </si>
  <si>
    <t>ＳＶ－＊＊＊</t>
    <phoneticPr fontId="1"/>
  </si>
  <si>
    <t>担　当</t>
    <rPh sb="0" eb="1">
      <t>ニナ</t>
    </rPh>
    <rPh sb="2" eb="3">
      <t>トウ</t>
    </rPh>
    <phoneticPr fontId="1"/>
  </si>
  <si>
    <t>名      称</t>
    <rPh sb="0" eb="8">
      <t>メイショウ</t>
    </rPh>
    <phoneticPr fontId="1"/>
  </si>
  <si>
    <t>サイズ</t>
    <phoneticPr fontId="1"/>
  </si>
  <si>
    <t>Ｗ＝</t>
    <phoneticPr fontId="1"/>
  </si>
  <si>
    <t>ｍｍ</t>
    <phoneticPr fontId="1"/>
  </si>
  <si>
    <t>Ａ＝</t>
    <phoneticPr fontId="1"/>
  </si>
  <si>
    <r>
      <t xml:space="preserve"> cm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</si>
  <si>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αＡ＝</t>
    <phoneticPr fontId="1"/>
  </si>
  <si>
    <r>
      <t>ｃｍ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</si>
  <si>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>Ｑ＝</t>
    <phoneticPr fontId="1"/>
  </si>
  <si>
    <t>(⊿P/9.8)</t>
    <phoneticPr fontId="1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</si>
  <si>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/hr</t>
    </r>
    <phoneticPr fontId="1"/>
  </si>
  <si>
    <t xml:space="preserve">隙間特性値 </t>
    <rPh sb="0" eb="2">
      <t>スキマ</t>
    </rPh>
    <rPh sb="2" eb="4">
      <t>トクセイ</t>
    </rPh>
    <rPh sb="4" eb="5">
      <t>チ</t>
    </rPh>
    <phoneticPr fontId="1"/>
  </si>
  <si>
    <t>ｎ＝</t>
    <phoneticPr fontId="1"/>
  </si>
  <si>
    <t>⊿Ｐ＝９．８Ｐａにおける通気量</t>
    <rPh sb="12" eb="14">
      <t>ツウキ</t>
    </rPh>
    <rPh sb="14" eb="15">
      <t>リョウ</t>
    </rPh>
    <phoneticPr fontId="1"/>
  </si>
  <si>
    <t>ａ＝</t>
    <phoneticPr fontId="1"/>
  </si>
  <si>
    <r>
      <t xml:space="preserve"> 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/hｒ</t>
    </r>
    <phoneticPr fontId="1"/>
  </si>
  <si>
    <t>流量係数</t>
    <rPh sb="0" eb="2">
      <t>リュウリョウ</t>
    </rPh>
    <rPh sb="2" eb="4">
      <t>ケイスウ</t>
    </rPh>
    <phoneticPr fontId="1"/>
  </si>
  <si>
    <t>α＝</t>
    <phoneticPr fontId="1"/>
  </si>
  <si>
    <t>⊿Ｐ＝９．８Ｐａにおける相当風速</t>
    <rPh sb="12" eb="14">
      <t>ソウトウ</t>
    </rPh>
    <rPh sb="14" eb="16">
      <t>フウソク</t>
    </rPh>
    <phoneticPr fontId="1"/>
  </si>
  <si>
    <t>Ｖ=</t>
    <phoneticPr fontId="1"/>
  </si>
  <si>
    <t>m/s</t>
    <phoneticPr fontId="1"/>
  </si>
  <si>
    <t>ζ=</t>
    <phoneticPr fontId="1"/>
  </si>
  <si>
    <t>抵抗損失曲線</t>
    <rPh sb="0" eb="2">
      <t>テイコウ</t>
    </rPh>
    <rPh sb="2" eb="4">
      <t>ソンシツ</t>
    </rPh>
    <rPh sb="4" eb="6">
      <t>キョクセン</t>
    </rPh>
    <phoneticPr fontId="1"/>
  </si>
  <si>
    <t>補正圧力差  (Ｐａ)</t>
    <rPh sb="0" eb="2">
      <t>ホセイ</t>
    </rPh>
    <rPh sb="2" eb="4">
      <t>アツリョク</t>
    </rPh>
    <rPh sb="4" eb="5">
      <t>サ</t>
    </rPh>
    <phoneticPr fontId="1"/>
  </si>
  <si>
    <t>補正通気量</t>
    <rPh sb="0" eb="2">
      <t>ホセイ</t>
    </rPh>
    <rPh sb="2" eb="4">
      <t>ツウキ</t>
    </rPh>
    <rPh sb="4" eb="5">
      <t>リョウ</t>
    </rPh>
    <phoneticPr fontId="1"/>
  </si>
  <si>
    <t>湯快ルーバーブレス　商品図</t>
    <rPh sb="0" eb="1">
      <t>ユ</t>
    </rPh>
    <rPh sb="1" eb="2">
      <t>カイ</t>
    </rPh>
    <rPh sb="10" eb="12">
      <t>ショウヒン</t>
    </rPh>
    <rPh sb="12" eb="13">
      <t>ズ</t>
    </rPh>
    <phoneticPr fontId="1"/>
  </si>
  <si>
    <t>第3種換気　給気口</t>
    <phoneticPr fontId="1"/>
  </si>
  <si>
    <t>抵抗損失曲線 (P-Q)</t>
    <rPh sb="0" eb="2">
      <t>テイコウ</t>
    </rPh>
    <rPh sb="2" eb="4">
      <t>ソンシツ</t>
    </rPh>
    <rPh sb="4" eb="6">
      <t>キョクセン</t>
    </rPh>
    <phoneticPr fontId="1"/>
  </si>
  <si>
    <t>技術データ</t>
    <rPh sb="0" eb="2">
      <t>ギジュツ</t>
    </rPh>
    <phoneticPr fontId="1"/>
  </si>
  <si>
    <t>換気框W寸法（内法Ｗ）
（225.0mm～894.0mm）</t>
    <rPh sb="0" eb="2">
      <t>カンキ</t>
    </rPh>
    <rPh sb="2" eb="3">
      <t>カマチ</t>
    </rPh>
    <rPh sb="4" eb="6">
      <t>スンポウ</t>
    </rPh>
    <rPh sb="7" eb="9">
      <t>ウチノリ</t>
    </rPh>
    <phoneticPr fontId="1"/>
  </si>
  <si>
    <t>mm</t>
    <phoneticPr fontId="1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</si>
  <si>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1"/>
  </si>
  <si>
    <t xml:space="preserve">                                                                       株式会社　佐原</t>
    <rPh sb="71" eb="73">
      <t>カブシキ</t>
    </rPh>
    <rPh sb="73" eb="75">
      <t>カイシャ</t>
    </rPh>
    <rPh sb="76" eb="78">
      <t>サハラ</t>
    </rPh>
    <phoneticPr fontId="1"/>
  </si>
  <si>
    <t>株式会社　佐原</t>
    <phoneticPr fontId="1"/>
  </si>
  <si>
    <t>PQ-SV011 SV605-9</t>
    <phoneticPr fontId="1"/>
  </si>
  <si>
    <t>＊　エクセルでのデータ提出禁止。（ＰＤＦデータ又は紙による提示としてください。）</t>
    <rPh sb="11" eb="13">
      <t>テイシュツ</t>
    </rPh>
    <rPh sb="13" eb="15">
      <t>キンシ</t>
    </rPh>
    <rPh sb="23" eb="24">
      <t>マタ</t>
    </rPh>
    <rPh sb="25" eb="26">
      <t>カミ</t>
    </rPh>
    <rPh sb="29" eb="31">
      <t>テイジ</t>
    </rPh>
    <phoneticPr fontId="1"/>
  </si>
  <si>
    <t>＊　黄色の欄に任意のサイズを記入ください。（下段にエラーが出た場合はサイズが範囲外です。）</t>
    <rPh sb="2" eb="4">
      <t>キイロ</t>
    </rPh>
    <rPh sb="5" eb="6">
      <t>ラン</t>
    </rPh>
    <rPh sb="7" eb="9">
      <t>ニンイ</t>
    </rPh>
    <rPh sb="14" eb="16">
      <t>キニュウ</t>
    </rPh>
    <rPh sb="22" eb="24">
      <t>カダン</t>
    </rPh>
    <rPh sb="29" eb="30">
      <t>デ</t>
    </rPh>
    <rPh sb="31" eb="33">
      <t>バアイ</t>
    </rPh>
    <rPh sb="38" eb="40">
      <t>ハンイ</t>
    </rPh>
    <rPh sb="40" eb="41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</si>
</sst>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00"/>
    <numFmt numFmtId="178" formatCode="0.0_ "/>
    <numFmt numFmtId="179" formatCode="0.00_ "/>
    <numFmt numFmtId="180" formatCode="0.0_);[Red]\(0.0\)"/>
    <numFmt numFmtId="181" formatCode="0_ "/>
    <numFmt numFmtId="182" formatCode="0.000_ "/>
    <numFmt numFmtId="183" formatCode="#,##0.0_ "/>
    <numFmt numFmtId="184" formatCode="0.00_);[Red]\(0.00\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vertAlign val="superscript"/>
      <sz val="16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Alignment="1">
      <alignment horizontal="center" vertical="center"/>
    </xf>
    <xf numFmtId="180" fontId="3" fillId="0" borderId="1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178" fontId="3" fillId="0" borderId="3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7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178" fontId="3" fillId="0" borderId="26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17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179" fontId="6" fillId="0" borderId="31" xfId="0" applyNumberFormat="1" applyFont="1" applyBorder="1" applyAlignment="1">
      <alignment horizontal="left" vertical="center"/>
    </xf>
    <xf numFmtId="179" fontId="6" fillId="0" borderId="32" xfId="0" applyNumberFormat="1" applyFont="1" applyBorder="1" applyAlignment="1">
      <alignment horizontal="left" vertical="center"/>
    </xf>
    <xf numFmtId="179" fontId="6" fillId="0" borderId="33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2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178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178" fontId="4" fillId="0" borderId="30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Continuous" vertical="center"/>
    </xf>
    <xf numFmtId="178" fontId="13" fillId="0" borderId="30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180" fontId="4" fillId="3" borderId="26" xfId="0" applyNumberFormat="1" applyFont="1" applyFill="1" applyBorder="1" applyAlignment="1">
      <alignment vertical="center"/>
    </xf>
    <xf numFmtId="0" fontId="4" fillId="0" borderId="26" xfId="0" applyFont="1" applyBorder="1"/>
    <xf numFmtId="0" fontId="4" fillId="0" borderId="31" xfId="0" applyFont="1" applyBorder="1" applyAlignment="1">
      <alignment horizontal="left" vertical="center"/>
    </xf>
    <xf numFmtId="178" fontId="4" fillId="3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2" xfId="0" applyFont="1" applyFill="1" applyBorder="1"/>
    <xf numFmtId="0" fontId="10" fillId="0" borderId="1" xfId="0" applyFont="1" applyBorder="1"/>
    <xf numFmtId="0" fontId="10" fillId="2" borderId="28" xfId="0" applyFont="1" applyFill="1" applyBorder="1"/>
    <xf numFmtId="0" fontId="0" fillId="2" borderId="28" xfId="0" applyFill="1" applyBorder="1"/>
    <xf numFmtId="0" fontId="0" fillId="2" borderId="39" xfId="0" applyFill="1" applyBorder="1"/>
    <xf numFmtId="0" fontId="0" fillId="0" borderId="1" xfId="0" applyBorder="1" applyAlignment="1">
      <alignment horizontal="center" vertical="center" wrapText="1" shrinkToFit="1"/>
    </xf>
    <xf numFmtId="178" fontId="0" fillId="2" borderId="1" xfId="0" applyNumberFormat="1" applyFill="1" applyBorder="1"/>
    <xf numFmtId="0" fontId="0" fillId="0" borderId="27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27" xfId="0" applyBorder="1" applyAlignment="1">
      <alignment horizontal="right" vertical="center"/>
    </xf>
    <xf numFmtId="0" fontId="0" fillId="3" borderId="28" xfId="0" applyFill="1" applyBorder="1"/>
    <xf numFmtId="0" fontId="0" fillId="0" borderId="28" xfId="0" applyBorder="1" applyAlignment="1">
      <alignment horizontal="center" vertical="center"/>
    </xf>
    <xf numFmtId="0" fontId="0" fillId="3" borderId="39" xfId="0" applyFill="1" applyBorder="1"/>
    <xf numFmtId="0" fontId="0" fillId="4" borderId="28" xfId="0" applyFill="1" applyBorder="1"/>
    <xf numFmtId="0" fontId="0" fillId="4" borderId="39" xfId="0" applyFill="1" applyBorder="1"/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80" fontId="0" fillId="2" borderId="6" xfId="0" applyNumberFormat="1" applyFill="1" applyBorder="1"/>
    <xf numFmtId="180" fontId="0" fillId="0" borderId="43" xfId="0" applyNumberFormat="1" applyBorder="1"/>
    <xf numFmtId="180" fontId="4" fillId="2" borderId="7" xfId="0" applyNumberFormat="1" applyFont="1" applyFill="1" applyBorder="1" applyAlignment="1">
      <alignment vertical="center"/>
    </xf>
    <xf numFmtId="178" fontId="0" fillId="5" borderId="1" xfId="0" applyNumberFormat="1" applyFill="1" applyBorder="1" applyAlignment="1">
      <alignment vertical="center"/>
    </xf>
    <xf numFmtId="179" fontId="0" fillId="6" borderId="1" xfId="0" applyNumberFormat="1" applyFill="1" applyBorder="1"/>
    <xf numFmtId="178" fontId="0" fillId="0" borderId="1" xfId="0" applyNumberFormat="1" applyBorder="1"/>
    <xf numFmtId="184" fontId="0" fillId="0" borderId="0" xfId="0" applyNumberFormat="1"/>
    <xf numFmtId="0" fontId="1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178" fontId="0" fillId="5" borderId="28" xfId="0" applyNumberFormat="1" applyFill="1" applyBorder="1" applyAlignment="1">
      <alignment vertical="center"/>
    </xf>
    <xf numFmtId="182" fontId="4" fillId="0" borderId="28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0" fontId="15" fillId="0" borderId="28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177" fontId="3" fillId="0" borderId="32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0" fontId="15" fillId="0" borderId="30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77" fontId="3" fillId="0" borderId="33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81" fontId="21" fillId="0" borderId="0" xfId="0" applyNumberFormat="1" applyFont="1" applyAlignment="1">
      <alignment vertical="center"/>
    </xf>
    <xf numFmtId="181" fontId="22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0" fontId="4" fillId="0" borderId="0" xfId="0" applyFont="1"/>
    <xf numFmtId="0" fontId="0" fillId="0" borderId="27" xfId="0" applyBorder="1" applyAlignment="1" applyProtection="1">
      <alignment horizontal="right" vertical="center"/>
      <protection hidden="1"/>
    </xf>
    <xf numFmtId="0" fontId="0" fillId="0" borderId="29" xfId="0" applyBorder="1" applyAlignment="1" applyProtection="1">
      <alignment horizontal="right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176" fontId="0" fillId="0" borderId="32" xfId="0" applyNumberFormat="1" applyBorder="1" applyAlignment="1" applyProtection="1">
      <alignment vertical="center"/>
      <protection hidden="1"/>
    </xf>
    <xf numFmtId="177" fontId="0" fillId="0" borderId="33" xfId="0" applyNumberForma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24" fillId="0" borderId="2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83" fontId="0" fillId="2" borderId="27" xfId="0" applyNumberFormat="1" applyFill="1" applyBorder="1" applyAlignment="1">
      <alignment horizontal="center" vertical="center"/>
    </xf>
    <xf numFmtId="183" fontId="0" fillId="2" borderId="39" xfId="0" applyNumberForma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6" fillId="0" borderId="3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0" fillId="0" borderId="36" xfId="0" applyBorder="1" applyAlignment="1" applyProtection="1">
      <alignment horizontal="left" vertical="center" indent="1"/>
      <protection hidden="1"/>
    </xf>
    <xf numFmtId="0" fontId="0" fillId="0" borderId="39" xfId="0" applyBorder="1" applyAlignment="1" applyProtection="1">
      <alignment horizontal="left" vertical="center" indent="1"/>
      <protection hidden="1"/>
    </xf>
    <xf numFmtId="0" fontId="0" fillId="0" borderId="37" xfId="0" applyBorder="1" applyAlignment="1" applyProtection="1">
      <alignment horizontal="left" vertical="center" indent="1"/>
      <protection hidden="1"/>
    </xf>
    <xf numFmtId="0" fontId="0" fillId="0" borderId="55" xfId="0" applyBorder="1" applyAlignment="1" applyProtection="1">
      <alignment horizontal="left" vertical="center" indent="1"/>
      <protection hidden="1"/>
    </xf>
    <xf numFmtId="0" fontId="23" fillId="7" borderId="0" xfId="0" applyFont="1" applyFill="1" applyAlignment="1" applyProtection="1">
      <alignment horizontal="center" vertical="center"/>
      <protection hidden="1"/>
    </xf>
    <xf numFmtId="0" fontId="23" fillId="7" borderId="0" xfId="0" applyFont="1" applyFill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left" vertical="center" wrapText="1" indent="1"/>
      <protection hidden="1"/>
    </xf>
    <xf numFmtId="0" fontId="0" fillId="0" borderId="54" xfId="0" applyBorder="1" applyAlignment="1" applyProtection="1">
      <alignment horizontal="left" vertical="center" indent="1"/>
      <protection hidden="1"/>
    </xf>
    <xf numFmtId="180" fontId="0" fillId="2" borderId="27" xfId="0" applyNumberFormat="1" applyFill="1" applyBorder="1" applyAlignment="1"/>
    <xf numFmtId="180" fontId="0" fillId="2" borderId="28" xfId="0" applyNumberFormat="1" applyFill="1" applyBorder="1" applyAlignment="1"/>
    <xf numFmtId="180" fontId="0" fillId="2" borderId="39" xfId="0" applyNumberFormat="1" applyFill="1" applyBorder="1" applyAlignment="1"/>
    <xf numFmtId="0" fontId="4" fillId="0" borderId="0" xfId="0" applyFont="1" applyAlignment="1">
      <alignment horizontal="centerContinuous" vertical="center"/>
    </xf>
    <xf numFmtId="0" fontId="4" fillId="3" borderId="27" xfId="0" applyFont="1" applyFill="1" applyBorder="1" applyAlignment="1">
      <alignment horizontal="centerContinuous" vertical="center"/>
    </xf>
    <xf numFmtId="0" fontId="4" fillId="3" borderId="39" xfId="0" applyFont="1" applyFill="1" applyBorder="1" applyAlignment="1">
      <alignment horizontal="centerContinuous" vertical="center"/>
    </xf>
    <xf numFmtId="0" fontId="4" fillId="5" borderId="27" xfId="0" applyFont="1" applyFill="1" applyBorder="1" applyAlignment="1">
      <alignment horizontal="centerContinuous" vertical="center"/>
    </xf>
    <xf numFmtId="0" fontId="4" fillId="5" borderId="39" xfId="0" applyFont="1" applyFill="1" applyBorder="1" applyAlignment="1">
      <alignment horizontal="centerContinuous" vertical="center"/>
    </xf>
    <xf numFmtId="0" fontId="4" fillId="0" borderId="34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実測値（Ｗ-ａ）</a:t>
            </a:r>
          </a:p>
        </c:rich>
      </c:tx>
      <c:layout>
        <c:manualLayout>
          <c:xMode val="edge"/>
          <c:yMode val="edge"/>
          <c:x val="0.37353002933456847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17674514123556"/>
          <c:y val="0.11246200607902736"/>
          <c:w val="0.70294218598085068"/>
          <c:h val="0.7234042553191489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7042466710068449"/>
                  <c:y val="-0.121580547112462"/>
                </c:manualLayout>
              </c:layout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</c:trendlineLbl>
          </c:trendline>
          <c:xVal>
            <c:numRef>
              <c:f>測定データ!$A$15:$A$17</c:f>
              <c:numCache>
                <c:formatCode>0.0_);[Red]\(0.0\)</c:formatCode>
                <c:ptCount val="3"/>
                <c:pt idx="0">
                  <c:v>275</c:v>
                </c:pt>
                <c:pt idx="1">
                  <c:v>550</c:v>
                </c:pt>
                <c:pt idx="2">
                  <c:v>824.5</c:v>
                </c:pt>
              </c:numCache>
            </c:numRef>
          </c:xVal>
          <c:yVal>
            <c:numRef>
              <c:f>測定データ!$D$15:$D$17</c:f>
              <c:numCache>
                <c:formatCode>0.0_ </c:formatCode>
                <c:ptCount val="3"/>
                <c:pt idx="0">
                  <c:v>15.8</c:v>
                </c:pt>
                <c:pt idx="1">
                  <c:v>41.9</c:v>
                </c:pt>
                <c:pt idx="2">
                  <c:v>73.7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D1-4448-98D4-0FA85FBB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28280"/>
        <c:axId val="237725536"/>
      </c:scatterChart>
      <c:valAx>
        <c:axId val="23772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Ｗ</a:t>
                </a:r>
              </a:p>
            </c:rich>
          </c:tx>
          <c:layout>
            <c:manualLayout>
              <c:xMode val="edge"/>
              <c:yMode val="edge"/>
              <c:x val="0.54411857341361736"/>
              <c:y val="0.92401215805471126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5536"/>
        <c:crosses val="autoZero"/>
        <c:crossBetween val="midCat"/>
      </c:valAx>
      <c:valAx>
        <c:axId val="237725536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ａ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4705882352941176E-2"/>
              <c:y val="0.4589665653495440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8280"/>
        <c:crosses val="autoZero"/>
        <c:crossBetween val="midCat"/>
        <c:maj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941176470588235E-2"/>
          <c:y val="7.9027355623100301E-2"/>
          <c:w val="0.30882383819669601"/>
          <c:h val="0.17325227963525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8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実測値（Ｗ-ｎ）</a:t>
            </a:r>
          </a:p>
        </c:rich>
      </c:tx>
      <c:layout>
        <c:manualLayout>
          <c:xMode val="edge"/>
          <c:yMode val="edge"/>
          <c:x val="0.38211495920733485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83250188564397"/>
          <c:y val="0.14329289624156857"/>
          <c:w val="0.73712932209445425"/>
          <c:h val="0.7256108362870918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FF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20807618547289619"/>
                  <c:y val="-0.11237872644283042"/>
                </c:manualLayout>
              </c:layout>
              <c:numFmt formatCode="General" sourceLinked="0"/>
              <c:spPr>
                <a:solidFill>
                  <a:srgbClr val="CC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en-US"/>
                </a:p>
              </c:txPr>
            </c:trendlineLbl>
          </c:trendline>
          <c:xVal>
            <c:numRef>
              <c:f>測定データ!$A$15:$A$17</c:f>
              <c:numCache>
                <c:formatCode>0.0_);[Red]\(0.0\)</c:formatCode>
                <c:ptCount val="3"/>
                <c:pt idx="0">
                  <c:v>275</c:v>
                </c:pt>
                <c:pt idx="1">
                  <c:v>550</c:v>
                </c:pt>
                <c:pt idx="2">
                  <c:v>824.5</c:v>
                </c:pt>
              </c:numCache>
            </c:numRef>
          </c:xVal>
          <c:yVal>
            <c:numRef>
              <c:f>測定データ!$E$15:$E$17</c:f>
              <c:numCache>
                <c:formatCode>0.0_ </c:formatCode>
                <c:ptCount val="3"/>
                <c:pt idx="0">
                  <c:v>1.6</c:v>
                </c:pt>
                <c:pt idx="1">
                  <c:v>1.8</c:v>
                </c:pt>
                <c:pt idx="2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7A-4A6C-AADB-20A4FAFD1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26712"/>
        <c:axId val="237729064"/>
      </c:scatterChart>
      <c:valAx>
        <c:axId val="237726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Ｗ</a:t>
                </a:r>
              </a:p>
            </c:rich>
          </c:tx>
          <c:layout>
            <c:manualLayout>
              <c:xMode val="edge"/>
              <c:yMode val="edge"/>
              <c:x val="0.57181714074358592"/>
              <c:y val="0.93292810959605654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9064"/>
        <c:crosses val="autoZero"/>
        <c:crossBetween val="midCat"/>
      </c:valAx>
      <c:valAx>
        <c:axId val="237729064"/>
        <c:scaling>
          <c:orientation val="minMax"/>
          <c:max val="2"/>
          <c:min val="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ｎ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8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5.4200826522700925E-2"/>
              <c:y val="0.4969518596760770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6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55369908029793"/>
          <c:y val="9.1463414634146339E-2"/>
          <c:w val="0.28455369908029793"/>
          <c:h val="0.17378080788681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32919254658384"/>
          <c:y val="4.5009827744530238E-2"/>
          <c:w val="0.83385093167701863"/>
          <c:h val="0.8101768994015443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サイズ毎!$B$22:$H$22</c:f>
              <c:numCache>
                <c:formatCode>0.0_ </c:formatCode>
                <c:ptCount val="7"/>
                <c:pt idx="0">
                  <c:v>0</c:v>
                </c:pt>
                <c:pt idx="1">
                  <c:v>2.3011231904616216</c:v>
                </c:pt>
                <c:pt idx="2">
                  <c:v>4.5723624912074463</c:v>
                </c:pt>
                <c:pt idx="3">
                  <c:v>6.292107326632264</c:v>
                </c:pt>
                <c:pt idx="4">
                  <c:v>9.7037560337608948</c:v>
                </c:pt>
                <c:pt idx="5">
                  <c:v>19.281492749501815</c:v>
                </c:pt>
                <c:pt idx="6">
                  <c:v>26.533596588381901</c:v>
                </c:pt>
              </c:numCache>
            </c:numRef>
          </c:xVal>
          <c:yVal>
            <c:numRef>
              <c:f>サイズ毎!$B$21:$H$21</c:f>
              <c:numCache>
                <c:formatCode>0_ 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78-4961-9588-AC711CBC3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24360"/>
        <c:axId val="237727496"/>
      </c:scatterChart>
      <c:valAx>
        <c:axId val="237724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通気量Ｑ (m3/hr)</a:t>
                </a:r>
              </a:p>
            </c:rich>
          </c:tx>
          <c:layout>
            <c:manualLayout>
              <c:xMode val="edge"/>
              <c:yMode val="edge"/>
              <c:x val="0.43012422360248448"/>
              <c:y val="0.93542156545500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7496"/>
        <c:crosses val="autoZero"/>
        <c:crossBetween val="midCat"/>
      </c:valAx>
      <c:valAx>
        <c:axId val="23772749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圧力差⊿Ｐ (Pa)</a:t>
                </a:r>
              </a:p>
            </c:rich>
          </c:tx>
          <c:layout>
            <c:manualLayout>
              <c:xMode val="edge"/>
              <c:yMode val="edge"/>
              <c:x val="2.3291925465838508E-2"/>
              <c:y val="0.31898259292930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24360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8774244770845"/>
          <c:y val="5.2633311255501233E-2"/>
          <c:w val="0.81987330377460821"/>
          <c:h val="0.7617979260664652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'PQ-SV011 SV605-9'!$B$29:$H$29</c:f>
              <c:numCache>
                <c:formatCode>0.0_ </c:formatCode>
                <c:ptCount val="7"/>
                <c:pt idx="0">
                  <c:v>0</c:v>
                </c:pt>
                <c:pt idx="1">
                  <c:v>2.275012246544069</c:v>
                </c:pt>
                <c:pt idx="2">
                  <c:v>4.5453792947858656</c:v>
                </c:pt>
                <c:pt idx="3">
                  <c:v>6.2709717100609552</c:v>
                </c:pt>
                <c:pt idx="4">
                  <c:v>9.7047362939849915</c:v>
                </c:pt>
                <c:pt idx="5">
                  <c:v>19.389657123404774</c:v>
                </c:pt>
                <c:pt idx="6">
                  <c:v>26.750680944962028</c:v>
                </c:pt>
              </c:numCache>
            </c:numRef>
          </c:xVal>
          <c:yVal>
            <c:numRef>
              <c:f>'PQ-SV011 SV605-9'!$B$28:$H$28</c:f>
              <c:numCache>
                <c:formatCode>0_ 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10</c:v>
                </c:pt>
                <c:pt idx="5">
                  <c:v>30</c:v>
                </c:pt>
                <c:pt idx="6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78-4D76-9F3E-C5C15665A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730632"/>
        <c:axId val="237731024"/>
      </c:scatterChart>
      <c:valAx>
        <c:axId val="237730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通気量Ｑ (m3/hr)</a:t>
                </a:r>
              </a:p>
            </c:rich>
          </c:tx>
          <c:layout>
            <c:manualLayout>
              <c:xMode val="edge"/>
              <c:yMode val="edge"/>
              <c:x val="0.4168071685103289"/>
              <c:y val="0.90861721232214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31024"/>
        <c:crosses val="autoZero"/>
        <c:crossBetween val="midCat"/>
      </c:valAx>
      <c:valAx>
        <c:axId val="237731024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圧力差⊿Ｐ (Pa)</a:t>
                </a:r>
              </a:p>
            </c:rich>
          </c:tx>
          <c:layout>
            <c:manualLayout>
              <c:xMode val="edge"/>
              <c:yMode val="edge"/>
              <c:x val="1.4675697317496329E-2"/>
              <c:y val="0.254143018447480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/>
          </a:p>
        </c:txPr>
        <c:crossAx val="237730632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en-US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if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28575</xdr:rowOff>
    </xdr:from>
    <xdr:to>
      <xdr:col>5</xdr:col>
      <xdr:colOff>333375</xdr:colOff>
      <xdr:row>50</xdr:row>
      <xdr:rowOff>76200</xdr:rowOff>
    </xdr:to>
    <xdr:graphicFrame macro="">
      <xdr:nvGraphicFramePr>
        <xdr:cNvPr id="5128" name="グラフ 3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32</xdr:row>
      <xdr:rowOff>28575</xdr:rowOff>
    </xdr:from>
    <xdr:to>
      <xdr:col>12</xdr:col>
      <xdr:colOff>123825</xdr:colOff>
      <xdr:row>50</xdr:row>
      <xdr:rowOff>66675</xdr:rowOff>
    </xdr:to>
    <xdr:graphicFrame macro="">
      <xdr:nvGraphicFramePr>
        <xdr:cNvPr id="5129" name="グラフ 5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257175</xdr:rowOff>
    </xdr:from>
    <xdr:to>
      <xdr:col>11</xdr:col>
      <xdr:colOff>285750</xdr:colOff>
      <xdr:row>2</xdr:row>
      <xdr:rowOff>28575</xdr:rowOff>
    </xdr:to>
    <xdr:pic>
      <xdr:nvPicPr>
        <xdr:cNvPr id="34819" name="Picture 1" descr="㈱佐原">
          <a:extLst>
            <a:ext uri="{FF2B5EF4-FFF2-40B4-BE49-F238E27FC236}">
              <a16:creationId xmlns:a16="http://schemas.microsoft.com/office/drawing/2014/main" id="{00000000-0008-0000-0100-000003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57175"/>
          <a:ext cx="1457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38100</xdr:rowOff>
    </xdr:from>
    <xdr:to>
      <xdr:col>7</xdr:col>
      <xdr:colOff>581025</xdr:colOff>
      <xdr:row>18</xdr:row>
      <xdr:rowOff>4905375</xdr:rowOff>
    </xdr:to>
    <xdr:graphicFrame macro="">
      <xdr:nvGraphicFramePr>
        <xdr:cNvPr id="17413" name="グラフ 1">
          <a:extLst>
            <a:ext uri="{FF2B5EF4-FFF2-40B4-BE49-F238E27FC236}">
              <a16:creationId xmlns:a16="http://schemas.microsoft.com/office/drawing/2014/main" id="{00000000-0008-0000-0200-00000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247650</xdr:colOff>
      <xdr:row>0</xdr:row>
      <xdr:rowOff>38100</xdr:rowOff>
    </xdr:from>
    <xdr:to>
      <xdr:col>7</xdr:col>
      <xdr:colOff>390525</xdr:colOff>
      <xdr:row>1</xdr:row>
      <xdr:rowOff>47625</xdr:rowOff>
    </xdr:to>
    <xdr:pic>
      <xdr:nvPicPr>
        <xdr:cNvPr id="17414" name="Picture 2" descr="㈱佐原">
          <a:extLst>
            <a:ext uri="{FF2B5EF4-FFF2-40B4-BE49-F238E27FC236}">
              <a16:creationId xmlns:a16="http://schemas.microsoft.com/office/drawing/2014/main" id="{00000000-0008-0000-0200-000006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38100"/>
          <a:ext cx="1457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200025</xdr:rowOff>
    </xdr:from>
    <xdr:to>
      <xdr:col>7</xdr:col>
      <xdr:colOff>228600</xdr:colOff>
      <xdr:row>15</xdr:row>
      <xdr:rowOff>3638550</xdr:rowOff>
    </xdr:to>
    <xdr:graphicFrame macro="">
      <xdr:nvGraphicFramePr>
        <xdr:cNvPr id="35850" name="グラフ 1">
          <a:extLst>
            <a:ext uri="{FF2B5EF4-FFF2-40B4-BE49-F238E27FC236}">
              <a16:creationId xmlns:a16="http://schemas.microsoft.com/office/drawing/2014/main" id="{00000000-0008-0000-0300-00000A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8467</xdr:colOff>
      <xdr:row>1</xdr:row>
      <xdr:rowOff>127000</xdr:rowOff>
    </xdr:from>
    <xdr:to>
      <xdr:col>7</xdr:col>
      <xdr:colOff>598449</xdr:colOff>
      <xdr:row>13</xdr:row>
      <xdr:rowOff>119710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" y="474133"/>
          <a:ext cx="5881649" cy="4158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showGridLines="0" workbookViewId="0">
      <selection activeCell="J25" sqref="J25"/>
    </sheetView>
  </sheetViews>
  <sheetFormatPr defaultColWidth="9" defaultRowHeight="13.5"/>
  <cols>
    <col min="1" max="6" width="7.625" customWidth="1"/>
    <col min="7" max="7" width="4.125" customWidth="1"/>
    <col min="8" max="8" width="12.75" bestFit="1" customWidth="1"/>
    <col min="9" max="9" width="4.25" bestFit="1" customWidth="1"/>
    <col min="10" max="10" width="10.5" bestFit="1" customWidth="1"/>
    <col min="11" max="11" width="2.625" customWidth="1"/>
    <col min="12" max="12" width="7.625" customWidth="1"/>
  </cols>
  <sheetData>
    <row r="1" spans="1:12">
      <c r="A1" t="s">
        <v>0</v>
      </c>
      <c r="B1" t="s">
        <v>1</v>
      </c>
      <c r="J1" s="154" t="s">
        <v>2</v>
      </c>
      <c r="K1" s="155"/>
      <c r="L1" s="156"/>
    </row>
    <row r="2" spans="1:12">
      <c r="B2" t="s">
        <v>3</v>
      </c>
    </row>
    <row r="3" spans="1:12">
      <c r="B3" t="s">
        <v>4</v>
      </c>
    </row>
    <row r="4" spans="1:12">
      <c r="B4" t="s">
        <v>5</v>
      </c>
    </row>
    <row r="6" spans="1:12" ht="21">
      <c r="A6" s="88" t="s">
        <v>6</v>
      </c>
      <c r="B6" s="89"/>
    </row>
    <row r="7" spans="1:12" ht="13.5" customHeight="1">
      <c r="A7" s="90" t="s">
        <v>7</v>
      </c>
      <c r="B7" s="91" t="s">
        <v>8</v>
      </c>
    </row>
    <row r="8" spans="1:12">
      <c r="A8" s="92" t="s">
        <v>9</v>
      </c>
      <c r="B8" s="93" t="s">
        <v>10</v>
      </c>
      <c r="C8" s="94"/>
      <c r="D8" s="94"/>
      <c r="E8" s="94"/>
      <c r="F8" s="95"/>
    </row>
    <row r="9" spans="1:12">
      <c r="A9" s="92" t="s">
        <v>11</v>
      </c>
      <c r="B9" s="93" t="s">
        <v>12</v>
      </c>
      <c r="C9" s="94"/>
      <c r="D9" s="94"/>
      <c r="E9" s="94"/>
      <c r="F9" s="95"/>
    </row>
    <row r="10" spans="1:12">
      <c r="A10" s="92" t="s">
        <v>13</v>
      </c>
      <c r="B10" s="93" t="s">
        <v>14</v>
      </c>
      <c r="C10" s="94"/>
      <c r="D10" s="94"/>
      <c r="E10" s="94"/>
      <c r="F10" s="95"/>
    </row>
    <row r="11" spans="1:12">
      <c r="A11" s="92" t="s">
        <v>15</v>
      </c>
      <c r="B11" s="93" t="s">
        <v>16</v>
      </c>
      <c r="C11" s="94"/>
      <c r="D11" s="94"/>
      <c r="E11" s="94"/>
      <c r="F11" s="95"/>
    </row>
    <row r="13" spans="1:12" ht="21">
      <c r="A13" s="88" t="s">
        <v>17</v>
      </c>
      <c r="B13" s="89"/>
      <c r="C13" s="89"/>
    </row>
    <row r="14" spans="1:12" ht="27">
      <c r="A14" s="162" t="s">
        <v>18</v>
      </c>
      <c r="B14" s="162"/>
      <c r="C14" s="162"/>
      <c r="D14" s="96" t="s">
        <v>19</v>
      </c>
      <c r="E14" s="96" t="s">
        <v>20</v>
      </c>
      <c r="H14" s="96" t="s">
        <v>21</v>
      </c>
      <c r="I14" s="152">
        <v>15</v>
      </c>
      <c r="J14" s="153"/>
    </row>
    <row r="15" spans="1:12">
      <c r="A15" s="184">
        <v>275</v>
      </c>
      <c r="B15" s="185"/>
      <c r="C15" s="186"/>
      <c r="D15" s="97">
        <v>15.8</v>
      </c>
      <c r="E15" s="97">
        <v>1.6</v>
      </c>
    </row>
    <row r="16" spans="1:12">
      <c r="A16" s="184">
        <v>550</v>
      </c>
      <c r="B16" s="185"/>
      <c r="C16" s="186"/>
      <c r="D16" s="97">
        <v>41.9</v>
      </c>
      <c r="E16" s="97">
        <v>1.8</v>
      </c>
    </row>
    <row r="17" spans="1:15">
      <c r="A17" s="184">
        <v>824.5</v>
      </c>
      <c r="B17" s="185"/>
      <c r="C17" s="186"/>
      <c r="D17" s="97">
        <v>73.7</v>
      </c>
      <c r="E17" s="97">
        <v>1.8</v>
      </c>
    </row>
    <row r="19" spans="1:15" ht="21">
      <c r="A19" s="88" t="s">
        <v>22</v>
      </c>
      <c r="B19" s="89"/>
      <c r="C19" s="89"/>
      <c r="E19" t="s">
        <v>23</v>
      </c>
    </row>
    <row r="20" spans="1:15" ht="20.100000000000001" customHeight="1">
      <c r="A20" s="88"/>
      <c r="B20" s="89"/>
      <c r="C20" s="89"/>
      <c r="E20" s="98" t="s">
        <v>24</v>
      </c>
      <c r="F20" s="99"/>
      <c r="G20" s="100" t="s">
        <v>25</v>
      </c>
      <c r="H20" s="101">
        <v>0.10539999999999999</v>
      </c>
      <c r="I20" s="102" t="s">
        <v>26</v>
      </c>
      <c r="J20" s="103">
        <v>-14.132999999999999</v>
      </c>
    </row>
    <row r="21" spans="1:15" ht="20.100000000000001" customHeight="1">
      <c r="A21" s="88"/>
      <c r="B21" s="89"/>
      <c r="C21" s="89"/>
      <c r="E21" s="98" t="s">
        <v>27</v>
      </c>
      <c r="F21" s="99"/>
      <c r="G21" s="100" t="s">
        <v>25</v>
      </c>
      <c r="H21" s="104">
        <v>4.0000000000000002E-4</v>
      </c>
      <c r="I21" s="102" t="s">
        <v>26</v>
      </c>
      <c r="J21" s="105">
        <v>1.5331999999999999</v>
      </c>
    </row>
    <row r="22" spans="1:15" ht="20.100000000000001" customHeight="1">
      <c r="A22" s="88"/>
      <c r="B22" s="89"/>
      <c r="C22" s="89"/>
      <c r="E22" s="106" t="s">
        <v>28</v>
      </c>
    </row>
    <row r="23" spans="1:15">
      <c r="A23" s="161" t="s">
        <v>18</v>
      </c>
      <c r="B23" s="161"/>
      <c r="C23" s="161"/>
      <c r="D23" s="150" t="s">
        <v>19</v>
      </c>
      <c r="E23" s="150" t="s">
        <v>20</v>
      </c>
      <c r="F23" s="150" t="s">
        <v>29</v>
      </c>
      <c r="G23" s="107"/>
      <c r="H23" s="157" t="s">
        <v>30</v>
      </c>
      <c r="I23" s="158" t="s">
        <v>31</v>
      </c>
      <c r="J23" s="159"/>
      <c r="K23" s="159"/>
      <c r="L23" s="159"/>
    </row>
    <row r="24" spans="1:15">
      <c r="A24" s="108" t="s">
        <v>32</v>
      </c>
      <c r="B24" s="109" t="s">
        <v>33</v>
      </c>
      <c r="C24" s="110" t="s">
        <v>34</v>
      </c>
      <c r="D24" s="151"/>
      <c r="E24" s="151"/>
      <c r="F24" s="151"/>
      <c r="G24" s="107"/>
      <c r="H24" s="157"/>
      <c r="I24" s="160"/>
      <c r="J24" s="159"/>
      <c r="K24" s="159"/>
      <c r="L24" s="159"/>
    </row>
    <row r="25" spans="1:15">
      <c r="A25" s="111">
        <v>225</v>
      </c>
      <c r="B25" s="112">
        <f>ROUND((C25-A25)/2+A25,0)</f>
        <v>275</v>
      </c>
      <c r="C25" s="113">
        <f>A26-0.5</f>
        <v>324.5</v>
      </c>
      <c r="D25" s="114">
        <f>ROUND($H$20*B25+$J$20,1)</f>
        <v>14.9</v>
      </c>
      <c r="E25" s="114">
        <f>IF(ROUND($H$21*B25+$J$21,1)&lt;1,1,(IF(ROUND($H$21*B25+$J$21,1)&gt;2,2,(ROUND($H$21*B25+$J$21,1)))))</f>
        <v>1.6</v>
      </c>
      <c r="F25" s="115">
        <v>34.71</v>
      </c>
      <c r="H25" s="116">
        <f>ROUND((((D25*2)/2.7)/3.3)*2,1)</f>
        <v>6.7</v>
      </c>
      <c r="M25" s="117"/>
      <c r="N25" s="117"/>
      <c r="O25" s="117"/>
    </row>
    <row r="26" spans="1:15">
      <c r="A26" s="111">
        <v>325</v>
      </c>
      <c r="B26" s="112">
        <f>ROUND((C26-A26)/2+A26,0)</f>
        <v>400</v>
      </c>
      <c r="C26" s="113">
        <f>A27-0.5</f>
        <v>474.5</v>
      </c>
      <c r="D26" s="114">
        <f>ROUND($H$20*B26+$J$20,1)</f>
        <v>28</v>
      </c>
      <c r="E26" s="114">
        <f>IF(ROUND($H$21*B26+$J$21,1)&lt;1,1,(IF(ROUND($H$21*B26+$J$21,1)&gt;2,2,(ROUND($H$21*B26+$J$21,1)))))</f>
        <v>1.7</v>
      </c>
      <c r="F26" s="115">
        <v>57.85</v>
      </c>
      <c r="H26" s="116">
        <f>ROUND((((D26*2)/2.7)/3.3)*2,1)</f>
        <v>12.6</v>
      </c>
      <c r="M26" s="117"/>
      <c r="N26" s="117"/>
      <c r="O26" s="117"/>
    </row>
    <row r="27" spans="1:15">
      <c r="A27" s="111">
        <v>475</v>
      </c>
      <c r="B27" s="112">
        <f>ROUND((C27-A27)/2+A27,0)</f>
        <v>550</v>
      </c>
      <c r="C27" s="113">
        <f>A28-0.5</f>
        <v>624.5</v>
      </c>
      <c r="D27" s="114">
        <f>ROUND($H$20*B27+$J$20,1)</f>
        <v>43.8</v>
      </c>
      <c r="E27" s="114">
        <f>IF(ROUND($H$21*B27+$J$21,1)&lt;1,1,(IF(ROUND($H$21*B27+$J$21,1)&gt;2,2,(ROUND($H$21*B27+$J$21,1)))))</f>
        <v>1.8</v>
      </c>
      <c r="F27" s="115">
        <v>92.56</v>
      </c>
      <c r="H27" s="116">
        <f>ROUND((((D27*2)/2.7)/3.3)*2,1)</f>
        <v>19.7</v>
      </c>
      <c r="M27" s="117"/>
      <c r="N27" s="117"/>
      <c r="O27" s="117"/>
    </row>
    <row r="28" spans="1:15">
      <c r="A28" s="111">
        <v>625</v>
      </c>
      <c r="B28" s="112">
        <f>ROUND((C28-A28)/2+A28,0)</f>
        <v>700</v>
      </c>
      <c r="C28" s="113">
        <f>A29-0.5</f>
        <v>774.5</v>
      </c>
      <c r="D28" s="114">
        <f>ROUND($H$20*B28+$J$20,1)</f>
        <v>59.6</v>
      </c>
      <c r="E28" s="114">
        <f>IF(ROUND($H$21*B28+$J$21,1)&lt;1,1,(IF(ROUND($H$21*B28+$J$21,1)&gt;2,2,(ROUND($H$21*B28+$J$21,1)))))</f>
        <v>1.8</v>
      </c>
      <c r="F28" s="115">
        <v>127.27</v>
      </c>
      <c r="H28" s="116">
        <f>ROUND((((D28*2)/2.7)/3.3)*2,1)</f>
        <v>26.8</v>
      </c>
      <c r="M28" s="117"/>
      <c r="N28" s="117"/>
      <c r="O28" s="117"/>
    </row>
    <row r="29" spans="1:15">
      <c r="A29" s="111">
        <v>775</v>
      </c>
      <c r="B29" s="112">
        <f>ROUND((C29-A29)/2+A29,0)</f>
        <v>835</v>
      </c>
      <c r="C29" s="113">
        <v>894</v>
      </c>
      <c r="D29" s="114">
        <f>ROUND($H$20*B29+$J$20,1)</f>
        <v>73.900000000000006</v>
      </c>
      <c r="E29" s="114">
        <f>IF(ROUND($H$21*B29+$J$21,1)&lt;1,1,(IF(ROUND($H$21*B29+$J$21,1)&gt;2,2,(ROUND($H$21*B29+$J$21,1)))))</f>
        <v>1.9</v>
      </c>
      <c r="F29" s="115">
        <v>161.97999999999999</v>
      </c>
      <c r="H29" s="116">
        <f>ROUND((((D29*2)/2.7)/3.3)*2,1)</f>
        <v>33.200000000000003</v>
      </c>
      <c r="M29" s="117"/>
      <c r="N29" s="117"/>
      <c r="O29" s="117"/>
    </row>
  </sheetData>
  <sheetProtection sheet="1" objects="1" scenarios="1"/>
  <mergeCells count="12">
    <mergeCell ref="A16:C16"/>
    <mergeCell ref="A17:C17"/>
    <mergeCell ref="F23:F24"/>
    <mergeCell ref="I14:J14"/>
    <mergeCell ref="J1:L1"/>
    <mergeCell ref="H23:H24"/>
    <mergeCell ref="I23:L24"/>
    <mergeCell ref="A23:C23"/>
    <mergeCell ref="A14:C14"/>
    <mergeCell ref="D23:D24"/>
    <mergeCell ref="E23:E24"/>
    <mergeCell ref="A15:C15"/>
  </mergeCells>
  <phoneticPr fontId="1"/>
  <pageMargins left="0.75" right="0.75" top="1" bottom="1" header="0.51200000000000001" footer="0.51200000000000001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"/>
  <sheetViews>
    <sheetView showGridLines="0" zoomScale="75" workbookViewId="0">
      <selection sqref="A1:IV65536"/>
    </sheetView>
  </sheetViews>
  <sheetFormatPr defaultColWidth="9" defaultRowHeight="13.5"/>
  <cols>
    <col min="1" max="1" width="3.625" style="29" customWidth="1"/>
    <col min="2" max="9" width="8.125" style="29" customWidth="1"/>
    <col min="10" max="10" width="6.625" style="29" customWidth="1"/>
    <col min="11" max="11" width="11.625" style="29" customWidth="1"/>
    <col min="12" max="12" width="5.625" style="29" customWidth="1"/>
    <col min="13" max="13" width="4.625" style="29" customWidth="1"/>
    <col min="14" max="16384" width="9" style="29"/>
  </cols>
  <sheetData>
    <row r="1" spans="1:12" ht="21.95" customHeight="1">
      <c r="A1" s="28" t="s">
        <v>35</v>
      </c>
      <c r="B1" s="28"/>
      <c r="C1" s="28"/>
      <c r="F1" s="154" t="s">
        <v>2</v>
      </c>
      <c r="G1" s="155"/>
      <c r="H1" s="156"/>
      <c r="J1" s="32" t="str">
        <f>測定データ!B10</f>
        <v>２００４，　５，１４</v>
      </c>
      <c r="K1" s="30"/>
      <c r="L1" s="30"/>
    </row>
    <row r="2" spans="1:12" s="31" customFormat="1" ht="21.95" customHeight="1"/>
    <row r="3" spans="1:12" s="31" customFormat="1" ht="21.95" customHeight="1">
      <c r="A3" s="31" t="s">
        <v>36</v>
      </c>
      <c r="C3" s="166" t="str">
        <f>測定データ!B7</f>
        <v>湯快ルーバーブレス</v>
      </c>
      <c r="D3" s="166"/>
      <c r="E3" s="166"/>
      <c r="F3" s="166"/>
      <c r="G3" s="166"/>
      <c r="H3" s="166"/>
      <c r="I3" s="166"/>
      <c r="J3" s="32" t="s">
        <v>37</v>
      </c>
      <c r="K3" s="32"/>
      <c r="L3" s="32"/>
    </row>
    <row r="4" spans="1:12" s="31" customFormat="1" ht="21.95" customHeight="1">
      <c r="A4" s="31" t="s">
        <v>9</v>
      </c>
      <c r="C4" s="167" t="str">
        <f>測定データ!B8</f>
        <v>ＳＶ６０５－９</v>
      </c>
      <c r="D4" s="167"/>
      <c r="E4" s="167"/>
      <c r="F4" s="167"/>
      <c r="G4" s="167"/>
      <c r="H4" s="167"/>
      <c r="I4" s="167"/>
      <c r="J4" s="32" t="str">
        <f>測定データ!B9</f>
        <v>小野寺</v>
      </c>
      <c r="K4" s="32"/>
      <c r="L4" s="32"/>
    </row>
    <row r="5" spans="1:12" s="31" customFormat="1" ht="21.95" customHeight="1">
      <c r="C5" s="167"/>
      <c r="D5" s="167"/>
      <c r="E5" s="167"/>
      <c r="F5" s="167"/>
      <c r="G5" s="167"/>
      <c r="H5" s="167"/>
      <c r="I5" s="167"/>
    </row>
    <row r="6" spans="1:12" s="31" customFormat="1" ht="21.95" customHeight="1" thickBot="1"/>
    <row r="7" spans="1:12" s="31" customFormat="1" ht="30" customHeight="1">
      <c r="A7" s="163" t="s">
        <v>38</v>
      </c>
      <c r="B7" s="15" t="s">
        <v>39</v>
      </c>
      <c r="C7" s="16"/>
      <c r="D7" s="17" t="s">
        <v>40</v>
      </c>
      <c r="E7" s="18" t="s">
        <v>41</v>
      </c>
      <c r="F7" s="18" t="s">
        <v>42</v>
      </c>
      <c r="G7" s="18" t="s">
        <v>43</v>
      </c>
      <c r="H7" s="18" t="s">
        <v>44</v>
      </c>
      <c r="I7" s="18" t="s">
        <v>45</v>
      </c>
      <c r="J7" s="16" t="s">
        <v>46</v>
      </c>
      <c r="K7" s="33"/>
      <c r="L7" s="34"/>
    </row>
    <row r="8" spans="1:12" s="31" customFormat="1" ht="21.95" customHeight="1">
      <c r="A8" s="164"/>
      <c r="B8" s="19" t="s">
        <v>47</v>
      </c>
      <c r="C8" s="19"/>
      <c r="D8" s="35" t="s">
        <v>48</v>
      </c>
      <c r="E8" s="20" t="s">
        <v>49</v>
      </c>
      <c r="F8" s="20" t="s">
        <v>50</v>
      </c>
      <c r="G8" s="20" t="s">
        <v>51</v>
      </c>
      <c r="H8" s="20" t="s">
        <v>52</v>
      </c>
      <c r="I8" s="20" t="s">
        <v>53</v>
      </c>
      <c r="J8" s="36" t="s">
        <v>54</v>
      </c>
      <c r="K8" s="32"/>
      <c r="L8" s="37"/>
    </row>
    <row r="9" spans="1:12" s="31" customFormat="1" ht="21.95" customHeight="1" thickBot="1">
      <c r="A9" s="165"/>
      <c r="B9" s="21" t="s">
        <v>55</v>
      </c>
      <c r="C9" s="22" t="s">
        <v>56</v>
      </c>
      <c r="D9" s="23" t="s">
        <v>57</v>
      </c>
      <c r="E9" s="24" t="s">
        <v>58</v>
      </c>
      <c r="F9" s="23"/>
      <c r="G9" s="23" t="s">
        <v>59</v>
      </c>
      <c r="H9" s="23" t="s">
        <v>57</v>
      </c>
      <c r="I9" s="23"/>
      <c r="J9" s="38" t="s">
        <v>60</v>
      </c>
      <c r="K9" s="39"/>
      <c r="L9" s="40"/>
    </row>
    <row r="10" spans="1:12" s="31" customFormat="1" ht="21.95" customHeight="1">
      <c r="A10" s="25">
        <v>1</v>
      </c>
      <c r="B10" s="9">
        <f>測定データ!A25</f>
        <v>225</v>
      </c>
      <c r="C10" s="10">
        <f>測定データ!C25</f>
        <v>324.5</v>
      </c>
      <c r="D10" s="6">
        <f>IF(測定データ!F25="","",測定データ!F25)</f>
        <v>34.71</v>
      </c>
      <c r="E10" s="26">
        <f>測定データ!D25</f>
        <v>14.9</v>
      </c>
      <c r="F10" s="6">
        <f>測定データ!E25</f>
        <v>1.6</v>
      </c>
      <c r="G10" s="26">
        <f>IF(D10="","",ROUND(E10/(D10*0.0001)/3600,2))</f>
        <v>1.19</v>
      </c>
      <c r="H10" s="41">
        <f>ROUND(1/(0.36*((2*9.8)/(353/(273+測定データ!$I$14)))^0.5)*E10,1)</f>
        <v>10.4</v>
      </c>
      <c r="I10" s="26">
        <f>IF(G10="","",ROUND((2*9.8)/((353/(273+測定データ!$I$14))*G10^2),1))</f>
        <v>11.3</v>
      </c>
      <c r="J10" s="41">
        <f>E10</f>
        <v>14.9</v>
      </c>
      <c r="K10" s="51" t="s">
        <v>61</v>
      </c>
      <c r="L10" s="54">
        <f>ROUND(1/F10,2)</f>
        <v>0.63</v>
      </c>
    </row>
    <row r="11" spans="1:12" s="31" customFormat="1" ht="21.95" customHeight="1">
      <c r="A11" s="27">
        <v>2</v>
      </c>
      <c r="B11" s="11">
        <f>測定データ!A26</f>
        <v>325</v>
      </c>
      <c r="C11" s="12">
        <f>測定データ!C26</f>
        <v>474.5</v>
      </c>
      <c r="D11" s="7">
        <f>IF(測定データ!F26="","",測定データ!F26)</f>
        <v>57.85</v>
      </c>
      <c r="E11" s="2">
        <f>測定データ!D26</f>
        <v>28</v>
      </c>
      <c r="F11" s="7">
        <f>測定データ!E26</f>
        <v>1.7</v>
      </c>
      <c r="G11" s="2">
        <f>IF(D11="","",ROUND(E11/(D11*0.0001)/3600,2))</f>
        <v>1.34</v>
      </c>
      <c r="H11" s="44">
        <f>ROUND(1/(0.36*((2*9.8)/(353/(273+測定データ!$I$14)))^0.5)*E11,1)</f>
        <v>19.399999999999999</v>
      </c>
      <c r="I11" s="2">
        <f>IF(G11="","",ROUND((2*9.8)/((353/(273+測定データ!$I$14))*G11^2),1))</f>
        <v>8.9</v>
      </c>
      <c r="J11" s="45">
        <f>E11</f>
        <v>28</v>
      </c>
      <c r="K11" s="52" t="s">
        <v>61</v>
      </c>
      <c r="L11" s="55">
        <f>ROUND(1/F11,2)</f>
        <v>0.59</v>
      </c>
    </row>
    <row r="12" spans="1:12" s="31" customFormat="1" ht="21.95" customHeight="1">
      <c r="A12" s="27">
        <v>3</v>
      </c>
      <c r="B12" s="11">
        <f>測定データ!A27</f>
        <v>475</v>
      </c>
      <c r="C12" s="12">
        <f>測定データ!C27</f>
        <v>624.5</v>
      </c>
      <c r="D12" s="7">
        <f>IF(測定データ!F27="","",測定データ!F27)</f>
        <v>92.56</v>
      </c>
      <c r="E12" s="2">
        <f>測定データ!D27</f>
        <v>43.8</v>
      </c>
      <c r="F12" s="7">
        <f>測定データ!E27</f>
        <v>1.8</v>
      </c>
      <c r="G12" s="2">
        <f>IF(D12="","",ROUND(E12/(D12*0.0001)/3600,2))</f>
        <v>1.31</v>
      </c>
      <c r="H12" s="44">
        <f>ROUND(1/(0.36*((2*9.8)/(353/(273+測定データ!$I$14)))^0.5)*E12,1)</f>
        <v>30.4</v>
      </c>
      <c r="I12" s="2">
        <f>IF(G12="","",ROUND((2*9.8)/((353/(273+測定データ!$I$14))*G12^2),1))</f>
        <v>9.3000000000000007</v>
      </c>
      <c r="J12" s="45">
        <f>E12</f>
        <v>43.8</v>
      </c>
      <c r="K12" s="52" t="s">
        <v>62</v>
      </c>
      <c r="L12" s="55">
        <f>ROUND(1/F12,2)</f>
        <v>0.56000000000000005</v>
      </c>
    </row>
    <row r="13" spans="1:12" s="31" customFormat="1" ht="21.95" customHeight="1">
      <c r="A13" s="27">
        <v>4</v>
      </c>
      <c r="B13" s="11">
        <f>測定データ!A28</f>
        <v>625</v>
      </c>
      <c r="C13" s="12">
        <f>測定データ!C28</f>
        <v>774.5</v>
      </c>
      <c r="D13" s="7">
        <f>IF(測定データ!F28="","",測定データ!F28)</f>
        <v>127.27</v>
      </c>
      <c r="E13" s="2">
        <f>測定データ!D28</f>
        <v>59.6</v>
      </c>
      <c r="F13" s="7">
        <f>測定データ!E28</f>
        <v>1.8</v>
      </c>
      <c r="G13" s="2">
        <f>IF(D13="","",ROUND(E13/(D13*0.0001)/3600,2))</f>
        <v>1.3</v>
      </c>
      <c r="H13" s="44">
        <f>ROUND(1/(0.36*((2*9.8)/(353/(273+測定データ!$I$14)))^0.5)*E13,1)</f>
        <v>41.4</v>
      </c>
      <c r="I13" s="2">
        <f>IF(G13="","",ROUND((2*9.8)/((353/(273+測定データ!$I$14))*G13^2),1))</f>
        <v>9.5</v>
      </c>
      <c r="J13" s="45">
        <f>E13</f>
        <v>59.6</v>
      </c>
      <c r="K13" s="52" t="s">
        <v>62</v>
      </c>
      <c r="L13" s="55">
        <f>ROUND(1/F13,2)</f>
        <v>0.56000000000000005</v>
      </c>
    </row>
    <row r="14" spans="1:12" s="31" customFormat="1" ht="21.95" customHeight="1" thickBot="1">
      <c r="A14" s="82">
        <v>5</v>
      </c>
      <c r="B14" s="13">
        <f>測定データ!A29</f>
        <v>775</v>
      </c>
      <c r="C14" s="14">
        <f>測定データ!C29</f>
        <v>894</v>
      </c>
      <c r="D14" s="8">
        <f>IF(測定データ!F29="","",測定データ!F29)</f>
        <v>161.97999999999999</v>
      </c>
      <c r="E14" s="3">
        <f>測定データ!D29</f>
        <v>73.900000000000006</v>
      </c>
      <c r="F14" s="8">
        <f>測定データ!E29</f>
        <v>1.9</v>
      </c>
      <c r="G14" s="3">
        <f>IF(D14="","",ROUND(E14/(D14*0.0001)/3600,2))</f>
        <v>1.27</v>
      </c>
      <c r="H14" s="46">
        <f>ROUND(1/(0.36*((2*9.8)/(353/(273+測定データ!$I$14)))^0.5)*E14,1)</f>
        <v>51.3</v>
      </c>
      <c r="I14" s="3">
        <f>IF(G14="","",ROUND((2*9.8)/((353/(273+測定データ!$I$14))*G14^2),1))</f>
        <v>9.9</v>
      </c>
      <c r="J14" s="47">
        <f>E14</f>
        <v>73.900000000000006</v>
      </c>
      <c r="K14" s="53" t="s">
        <v>62</v>
      </c>
      <c r="L14" s="56">
        <f>ROUND(1/F14,2)</f>
        <v>0.53</v>
      </c>
    </row>
    <row r="15" spans="1:12" s="31" customFormat="1" ht="21.95" customHeight="1">
      <c r="A15" s="48"/>
      <c r="B15" s="42"/>
      <c r="C15" s="42"/>
      <c r="D15" s="5"/>
      <c r="E15" s="4"/>
      <c r="F15" s="4"/>
      <c r="G15" s="4"/>
      <c r="H15" s="4"/>
      <c r="I15" s="4"/>
      <c r="J15" s="42"/>
      <c r="K15" s="43"/>
      <c r="L15" s="49"/>
    </row>
    <row r="16" spans="1:12" s="31" customFormat="1" ht="21.95" customHeight="1">
      <c r="A16" s="31" t="s">
        <v>63</v>
      </c>
    </row>
    <row r="17" spans="1:11" s="31" customFormat="1" ht="21.95" customHeight="1">
      <c r="A17" s="50"/>
    </row>
    <row r="23" spans="1:11">
      <c r="D23" s="1"/>
      <c r="E23" s="1"/>
      <c r="F23" s="1"/>
      <c r="G23" s="1"/>
      <c r="H23" s="1"/>
      <c r="I23" s="1"/>
      <c r="J23" s="1"/>
      <c r="K23" s="1"/>
    </row>
    <row r="24" spans="1:11">
      <c r="D24" s="1"/>
      <c r="E24" s="1"/>
      <c r="F24" s="1"/>
      <c r="G24" s="1"/>
      <c r="H24" s="1"/>
      <c r="I24" s="1"/>
      <c r="J24" s="1"/>
      <c r="K24" s="1"/>
    </row>
  </sheetData>
  <sheetProtection sheet="1" objects="1" scenarios="1"/>
  <mergeCells count="4">
    <mergeCell ref="A7:A9"/>
    <mergeCell ref="C3:I3"/>
    <mergeCell ref="C4:I5"/>
    <mergeCell ref="F1:H1"/>
  </mergeCells>
  <phoneticPr fontId="1"/>
  <pageMargins left="0.78740157480314965" right="0.39370078740157483" top="0.78740157480314965" bottom="0.39370078740157483" header="0.51181102362204722" footer="0.51181102362204722"/>
  <pageSetup paperSize="9" scale="9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showGridLines="0" workbookViewId="0">
      <selection activeCell="J25" sqref="J25"/>
    </sheetView>
  </sheetViews>
  <sheetFormatPr defaultColWidth="9" defaultRowHeight="13.5"/>
  <cols>
    <col min="1" max="1" width="15.625" style="57" customWidth="1"/>
    <col min="2" max="2" width="14.625" style="57" customWidth="1"/>
    <col min="3" max="8" width="8.625" style="57" customWidth="1"/>
    <col min="9" max="10" width="9" style="57"/>
    <col min="11" max="11" width="5.125" style="57" bestFit="1" customWidth="1"/>
    <col min="12" max="15" width="6.125" style="57" bestFit="1" customWidth="1"/>
    <col min="16" max="16384" width="9" style="57"/>
  </cols>
  <sheetData>
    <row r="1" spans="1:10" ht="17.25">
      <c r="A1" s="28" t="s">
        <v>35</v>
      </c>
      <c r="C1" s="154" t="s">
        <v>2</v>
      </c>
      <c r="D1" s="155"/>
      <c r="E1" s="156"/>
    </row>
    <row r="2" spans="1:10" ht="14.1" customHeight="1"/>
    <row r="3" spans="1:10" s="118" customFormat="1" ht="14.1" customHeight="1">
      <c r="A3" s="57"/>
      <c r="B3" s="187"/>
      <c r="C3" s="74"/>
      <c r="D3" s="74"/>
      <c r="E3" s="74"/>
      <c r="F3" s="149" t="s">
        <v>64</v>
      </c>
      <c r="G3" s="188" t="s">
        <v>65</v>
      </c>
      <c r="H3" s="189"/>
      <c r="I3" s="57"/>
      <c r="J3" s="57"/>
    </row>
    <row r="4" spans="1:10" s="118" customFormat="1" ht="14.1" customHeight="1">
      <c r="A4" s="57"/>
      <c r="B4" s="57"/>
      <c r="C4" s="57"/>
      <c r="D4" s="57"/>
      <c r="E4" s="57"/>
      <c r="F4" s="149" t="s">
        <v>13</v>
      </c>
      <c r="G4" s="190" t="str">
        <f>測定データ!B10</f>
        <v>２００４，　５，１４</v>
      </c>
      <c r="H4" s="191"/>
      <c r="I4" s="57"/>
      <c r="J4" s="57"/>
    </row>
    <row r="5" spans="1:10" s="118" customFormat="1" ht="14.1" customHeight="1">
      <c r="A5" s="57"/>
      <c r="B5" s="57"/>
      <c r="C5" s="57"/>
      <c r="D5" s="57"/>
      <c r="E5" s="57"/>
      <c r="F5" s="149" t="s">
        <v>66</v>
      </c>
      <c r="G5" s="190" t="str">
        <f>測定データ!B9</f>
        <v>小野寺</v>
      </c>
      <c r="H5" s="191"/>
      <c r="I5" s="57"/>
      <c r="J5" s="57"/>
    </row>
    <row r="6" spans="1:10" s="118" customFormat="1" ht="14.1" customHeight="1" thickBot="1">
      <c r="A6" s="181"/>
      <c r="B6" s="181"/>
      <c r="C6" s="181"/>
      <c r="D6" s="181"/>
      <c r="E6" s="181"/>
      <c r="F6" s="181"/>
      <c r="G6" s="181"/>
      <c r="H6" s="181"/>
      <c r="I6" s="57"/>
      <c r="J6" s="57"/>
    </row>
    <row r="7" spans="1:10" s="118" customFormat="1" ht="20.100000000000001" customHeight="1">
      <c r="A7" s="192" t="s">
        <v>67</v>
      </c>
      <c r="B7" s="193"/>
      <c r="C7" s="172" t="str">
        <f>測定データ!B7</f>
        <v>湯快ルーバーブレス</v>
      </c>
      <c r="D7" s="173"/>
      <c r="E7" s="173"/>
      <c r="F7" s="173"/>
      <c r="G7" s="173"/>
      <c r="H7" s="174"/>
      <c r="I7" s="57"/>
      <c r="J7" s="57"/>
    </row>
    <row r="8" spans="1:10" s="118" customFormat="1" ht="20.100000000000001" customHeight="1" thickBot="1">
      <c r="A8" s="194" t="s">
        <v>9</v>
      </c>
      <c r="B8" s="195"/>
      <c r="C8" s="196" t="str">
        <f>測定データ!B8</f>
        <v>ＳＶ６０５－９</v>
      </c>
      <c r="D8" s="197"/>
      <c r="E8" s="197"/>
      <c r="F8" s="71"/>
      <c r="G8" s="71"/>
      <c r="H8" s="198"/>
      <c r="I8" s="57"/>
      <c r="J8" s="57"/>
    </row>
    <row r="9" spans="1:10" s="118" customFormat="1" ht="20.100000000000001" customHeight="1">
      <c r="A9" s="199" t="s">
        <v>68</v>
      </c>
      <c r="B9" s="59"/>
      <c r="C9" s="75" t="s">
        <v>69</v>
      </c>
      <c r="D9" s="76">
        <f>IF('PQ-SV011 SV605-9'!C20&lt;測定データ!A25,"製作範囲外",IF('PQ-SV011 SV605-9'!C20&gt;測定データ!C29,"製作範囲外",'PQ-SV011 SV605-9'!C20))</f>
        <v>225</v>
      </c>
      <c r="E9" s="77"/>
      <c r="F9" s="77"/>
      <c r="G9" s="77"/>
      <c r="H9" s="78" t="s">
        <v>70</v>
      </c>
      <c r="I9" s="57"/>
      <c r="J9" s="57"/>
    </row>
    <row r="10" spans="1:10" ht="20.100000000000001" customHeight="1">
      <c r="A10" s="60" t="s">
        <v>40</v>
      </c>
      <c r="B10" s="61"/>
      <c r="C10" s="62" t="s">
        <v>71</v>
      </c>
      <c r="D10" s="79">
        <f>IF(測定データ!F25="","",IF(D9&lt;=測定データ!C25,測定データ!F25,IF(D9&lt;=測定データ!C26,測定データ!F26,IF(D9&lt;=測定データ!C27,測定データ!F27,IF(D9&lt;=測定データ!C28,測定データ!F28,IF(D9&lt;=測定データ!C29,測定データ!F29,IF(D9&lt;=測定データ!#REF!,測定データ!#REF!,IF(D9&lt;=測定データ!#REF!,測定データ!#REF!,I10))))))))</f>
        <v>34.71</v>
      </c>
      <c r="E10" s="80"/>
      <c r="F10" s="80"/>
      <c r="G10" s="80"/>
      <c r="H10" s="81" t="s">
        <v>72</v>
      </c>
      <c r="I10" s="79"/>
      <c r="J10" s="79"/>
    </row>
    <row r="11" spans="1:10" ht="20.100000000000001" customHeight="1">
      <c r="A11" s="60" t="s">
        <v>44</v>
      </c>
      <c r="B11" s="61"/>
      <c r="C11" s="62" t="s">
        <v>73</v>
      </c>
      <c r="D11" s="63">
        <f>ROUND(1/(0.36*((2*9.8)/(353/(273+測定データ!I14)))^0.5)*D14,1)</f>
        <v>6.7</v>
      </c>
      <c r="E11" s="64"/>
      <c r="F11" s="64"/>
      <c r="G11" s="64"/>
      <c r="H11" s="66" t="s">
        <v>74</v>
      </c>
    </row>
    <row r="12" spans="1:10" s="118" customFormat="1" ht="20.100000000000001" customHeight="1">
      <c r="A12" s="60" t="s">
        <v>46</v>
      </c>
      <c r="B12" s="61"/>
      <c r="C12" s="62" t="s">
        <v>75</v>
      </c>
      <c r="D12" s="63">
        <f>D14</f>
        <v>9.5820000000000007</v>
      </c>
      <c r="E12" s="119" t="s">
        <v>76</v>
      </c>
      <c r="F12" s="120">
        <f>ROUND(1/D13,2)</f>
        <v>0.63</v>
      </c>
      <c r="G12" s="121"/>
      <c r="H12" s="124" t="s">
        <v>77</v>
      </c>
      <c r="I12" s="57"/>
      <c r="J12" s="57"/>
    </row>
    <row r="13" spans="1:10" ht="20.100000000000001" customHeight="1">
      <c r="A13" s="60" t="s">
        <v>78</v>
      </c>
      <c r="B13" s="61"/>
      <c r="C13" s="62" t="s">
        <v>79</v>
      </c>
      <c r="D13" s="122">
        <f>IF(ROUND(測定データ!H21*D9+測定データ!J21,1)&lt;1,1,IF(ROUND(測定データ!H21*D9+測定データ!J21,1)&gt;2,2,(ROUND(測定データ!H21*D9+測定データ!J21,1))))</f>
        <v>1.6</v>
      </c>
      <c r="E13" s="64"/>
      <c r="F13" s="64"/>
      <c r="G13" s="64"/>
      <c r="H13" s="65"/>
    </row>
    <row r="14" spans="1:10" ht="20.100000000000001" customHeight="1">
      <c r="A14" s="60" t="s">
        <v>80</v>
      </c>
      <c r="B14" s="61"/>
      <c r="C14" s="62" t="s">
        <v>81</v>
      </c>
      <c r="D14" s="63">
        <f>測定データ!H20*D9+測定データ!J20</f>
        <v>9.5820000000000007</v>
      </c>
      <c r="E14" s="64"/>
      <c r="F14" s="64"/>
      <c r="G14" s="64"/>
      <c r="H14" s="65" t="s">
        <v>82</v>
      </c>
    </row>
    <row r="15" spans="1:10" ht="20.100000000000001" customHeight="1">
      <c r="A15" s="60" t="s">
        <v>83</v>
      </c>
      <c r="B15" s="61"/>
      <c r="C15" s="62" t="s">
        <v>84</v>
      </c>
      <c r="D15" s="123">
        <f>ROUND(D11/D10,3)</f>
        <v>0.193</v>
      </c>
      <c r="E15" s="64"/>
      <c r="F15" s="64"/>
      <c r="G15" s="64"/>
      <c r="H15" s="124"/>
    </row>
    <row r="16" spans="1:10" ht="20.100000000000001" customHeight="1">
      <c r="A16" s="60" t="s">
        <v>85</v>
      </c>
      <c r="B16" s="61"/>
      <c r="C16" s="62" t="s">
        <v>86</v>
      </c>
      <c r="D16" s="125">
        <f>ROUND(D14/(D10*0.0001)/3600,2)</f>
        <v>0.77</v>
      </c>
      <c r="E16" s="126"/>
      <c r="F16" s="127"/>
      <c r="G16" s="127"/>
      <c r="H16" s="128" t="s">
        <v>87</v>
      </c>
    </row>
    <row r="17" spans="1:8" ht="20.100000000000001" customHeight="1" thickBot="1">
      <c r="A17" s="67" t="s">
        <v>45</v>
      </c>
      <c r="B17" s="68"/>
      <c r="C17" s="69" t="s">
        <v>88</v>
      </c>
      <c r="D17" s="129">
        <f>ROUND((2*9.8)/((353/(273+測定データ!I14))*D16^2),2)</f>
        <v>26.97</v>
      </c>
      <c r="E17" s="130"/>
      <c r="F17" s="131"/>
      <c r="G17" s="131"/>
      <c r="H17" s="132"/>
    </row>
    <row r="18" spans="1:8" ht="20.100000000000001" customHeight="1">
      <c r="A18" s="169" t="s">
        <v>89</v>
      </c>
      <c r="B18" s="170"/>
      <c r="C18" s="170"/>
      <c r="D18" s="170"/>
      <c r="E18" s="170"/>
      <c r="F18" s="170"/>
      <c r="G18" s="170"/>
      <c r="H18" s="171"/>
    </row>
    <row r="19" spans="1:8" ht="399.95" customHeight="1" thickBot="1">
      <c r="A19" s="168"/>
      <c r="B19" s="200"/>
      <c r="C19" s="200"/>
      <c r="D19" s="200"/>
      <c r="E19" s="200"/>
      <c r="F19" s="200"/>
      <c r="G19" s="200"/>
      <c r="H19" s="201"/>
    </row>
    <row r="20" spans="1:8" ht="20.100000000000001" customHeight="1"/>
    <row r="21" spans="1:8" ht="20.100000000000001" customHeight="1">
      <c r="A21" s="84" t="s">
        <v>90</v>
      </c>
      <c r="B21" s="85">
        <v>0</v>
      </c>
      <c r="C21" s="86">
        <v>1</v>
      </c>
      <c r="D21" s="86">
        <v>3</v>
      </c>
      <c r="E21" s="86">
        <v>5</v>
      </c>
      <c r="F21" s="86">
        <v>10</v>
      </c>
      <c r="G21" s="86">
        <v>30</v>
      </c>
      <c r="H21" s="86">
        <v>50</v>
      </c>
    </row>
    <row r="22" spans="1:8" ht="20.100000000000001" customHeight="1">
      <c r="A22" s="84" t="s">
        <v>91</v>
      </c>
      <c r="B22" s="87">
        <f t="shared" ref="B22:H22" si="0">$D$14*(B21/9.8)^(1/$D$13)</f>
        <v>0</v>
      </c>
      <c r="C22" s="87">
        <f t="shared" si="0"/>
        <v>2.3011231904616216</v>
      </c>
      <c r="D22" s="87">
        <f t="shared" si="0"/>
        <v>4.5723624912074463</v>
      </c>
      <c r="E22" s="87">
        <f t="shared" si="0"/>
        <v>6.292107326632264</v>
      </c>
      <c r="F22" s="87">
        <f t="shared" si="0"/>
        <v>9.7037560337608948</v>
      </c>
      <c r="G22" s="87">
        <f t="shared" si="0"/>
        <v>19.281492749501815</v>
      </c>
      <c r="H22" s="87">
        <f t="shared" si="0"/>
        <v>26.533596588381901</v>
      </c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</sheetData>
  <mergeCells count="7">
    <mergeCell ref="C1:E1"/>
    <mergeCell ref="A19:H19"/>
    <mergeCell ref="A7:B7"/>
    <mergeCell ref="A8:B8"/>
    <mergeCell ref="A6:H6"/>
    <mergeCell ref="A18:H18"/>
    <mergeCell ref="C7:H7"/>
  </mergeCells>
  <phoneticPr fontId="1"/>
  <pageMargins left="0.98425196850393704" right="0.19685039370078741" top="0.78740157480314965" bottom="0.19685039370078741" header="0" footer="0"/>
  <pageSetup paperSize="9" scale="11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H32"/>
  <sheetViews>
    <sheetView showGridLines="0" showRowColHeaders="0" tabSelected="1" zoomScale="75" zoomScaleNormal="75" workbookViewId="0">
      <selection activeCell="C20" sqref="C20"/>
    </sheetView>
  </sheetViews>
  <sheetFormatPr defaultColWidth="9" defaultRowHeight="13.5"/>
  <cols>
    <col min="1" max="1" width="15.625" style="57" customWidth="1"/>
    <col min="2" max="2" width="14.625" style="57" customWidth="1"/>
    <col min="3" max="8" width="9.125" style="57" customWidth="1"/>
    <col min="9" max="10" width="9" style="57"/>
    <col min="11" max="11" width="5.125" style="57" bestFit="1" customWidth="1"/>
    <col min="12" max="15" width="6.125" style="57" bestFit="1" customWidth="1"/>
    <col min="16" max="16384" width="9" style="57"/>
  </cols>
  <sheetData>
    <row r="1" spans="1:8" ht="27" customHeight="1">
      <c r="A1" s="180" t="s">
        <v>92</v>
      </c>
      <c r="B1" s="180"/>
      <c r="C1" s="180"/>
      <c r="D1" s="180"/>
      <c r="E1" s="180"/>
      <c r="F1" s="179" t="s">
        <v>93</v>
      </c>
      <c r="G1" s="179"/>
      <c r="H1" s="179"/>
    </row>
    <row r="2" spans="1:8" ht="27" customHeight="1">
      <c r="A2" s="181"/>
      <c r="B2" s="181"/>
      <c r="C2" s="181"/>
      <c r="D2" s="181"/>
      <c r="E2" s="181"/>
    </row>
    <row r="3" spans="1:8" ht="27" customHeight="1">
      <c r="A3" s="181"/>
      <c r="B3" s="181"/>
      <c r="C3" s="181"/>
      <c r="D3" s="181"/>
      <c r="E3" s="181"/>
    </row>
    <row r="4" spans="1:8" ht="27" customHeight="1">
      <c r="A4" s="181"/>
      <c r="B4" s="181"/>
      <c r="C4" s="181"/>
      <c r="D4" s="181"/>
      <c r="E4" s="181"/>
    </row>
    <row r="5" spans="1:8" ht="27" customHeight="1">
      <c r="A5" s="181"/>
      <c r="B5" s="181"/>
      <c r="C5" s="181"/>
      <c r="D5" s="181"/>
      <c r="E5" s="181"/>
    </row>
    <row r="6" spans="1:8" ht="27" customHeight="1">
      <c r="A6" s="181"/>
      <c r="B6" s="181"/>
      <c r="C6" s="181"/>
      <c r="D6" s="181"/>
      <c r="E6" s="181"/>
    </row>
    <row r="7" spans="1:8" ht="27" customHeight="1">
      <c r="A7" s="181"/>
      <c r="B7" s="181"/>
      <c r="C7" s="181"/>
      <c r="D7" s="181"/>
      <c r="E7" s="181"/>
    </row>
    <row r="8" spans="1:8" ht="27" customHeight="1">
      <c r="A8" s="181"/>
      <c r="B8" s="181"/>
      <c r="C8" s="181"/>
      <c r="D8" s="181"/>
      <c r="E8" s="181"/>
    </row>
    <row r="9" spans="1:8" ht="27" customHeight="1">
      <c r="A9" s="181"/>
      <c r="B9" s="181"/>
      <c r="C9" s="181"/>
      <c r="D9" s="181"/>
      <c r="E9" s="181"/>
    </row>
    <row r="10" spans="1:8" ht="27" customHeight="1">
      <c r="A10" s="181"/>
      <c r="B10" s="181"/>
      <c r="C10" s="181"/>
      <c r="D10" s="181"/>
      <c r="E10" s="181"/>
    </row>
    <row r="11" spans="1:8" ht="27" customHeight="1">
      <c r="A11" s="181"/>
      <c r="B11" s="181"/>
      <c r="C11" s="181"/>
      <c r="D11" s="181"/>
      <c r="E11" s="181"/>
    </row>
    <row r="12" spans="1:8" ht="27" customHeight="1">
      <c r="A12" s="181"/>
      <c r="B12" s="181"/>
      <c r="C12" s="181"/>
      <c r="D12" s="181"/>
      <c r="E12" s="181"/>
    </row>
    <row r="13" spans="1:8" ht="27" customHeight="1">
      <c r="A13" s="181"/>
      <c r="B13" s="181"/>
      <c r="C13" s="181"/>
      <c r="D13" s="181"/>
      <c r="E13" s="181"/>
    </row>
    <row r="14" spans="1:8" ht="27" customHeight="1">
      <c r="A14" s="181"/>
      <c r="B14" s="181"/>
      <c r="C14" s="181"/>
      <c r="D14" s="181"/>
      <c r="E14" s="181"/>
    </row>
    <row r="15" spans="1:8" ht="27" customHeight="1">
      <c r="A15" s="180" t="s">
        <v>94</v>
      </c>
      <c r="B15" s="180"/>
      <c r="C15" s="180"/>
      <c r="D15" s="180"/>
      <c r="E15" s="180"/>
      <c r="F15" s="180"/>
      <c r="G15" s="180"/>
      <c r="H15" s="180"/>
    </row>
    <row r="16" spans="1:8" ht="279" customHeight="1">
      <c r="A16" s="181"/>
      <c r="B16" s="202"/>
      <c r="C16" s="202"/>
      <c r="D16" s="202"/>
      <c r="E16" s="202"/>
      <c r="F16" s="202"/>
      <c r="G16" s="202"/>
      <c r="H16" s="202"/>
    </row>
    <row r="17" spans="1:8" ht="5.25" customHeight="1">
      <c r="B17" s="138"/>
      <c r="C17" s="138"/>
      <c r="D17" s="138"/>
      <c r="E17" s="138"/>
      <c r="F17" s="138"/>
      <c r="G17" s="138"/>
      <c r="H17" s="138"/>
    </row>
    <row r="18" spans="1:8" ht="27" customHeight="1">
      <c r="A18" s="180" t="s">
        <v>95</v>
      </c>
      <c r="B18" s="180"/>
      <c r="C18" s="180"/>
      <c r="D18" s="180"/>
      <c r="E18" s="180"/>
      <c r="F18" s="180"/>
      <c r="G18" s="180"/>
      <c r="H18" s="180"/>
    </row>
    <row r="19" spans="1:8" ht="4.5" customHeight="1" thickBot="1">
      <c r="A19" s="83"/>
      <c r="B19" s="83"/>
      <c r="C19" s="83"/>
      <c r="D19" s="83"/>
      <c r="E19" s="83"/>
      <c r="F19" s="83"/>
      <c r="G19" s="83"/>
      <c r="H19" s="83"/>
    </row>
    <row r="20" spans="1:8" ht="30" customHeight="1">
      <c r="A20" s="182" t="s">
        <v>96</v>
      </c>
      <c r="B20" s="183"/>
      <c r="C20" s="58">
        <v>225</v>
      </c>
      <c r="D20" s="148" t="str">
        <f>IF(サイズ毎!$D$9="製作範囲外","左記寸法は製作範囲外です。","")</f>
        <v/>
      </c>
      <c r="E20" s="59"/>
      <c r="F20" s="59"/>
      <c r="G20" s="59"/>
      <c r="H20" s="141" t="s">
        <v>97</v>
      </c>
    </row>
    <row r="21" spans="1:8" ht="15.75" customHeight="1">
      <c r="A21" s="175" t="s">
        <v>80</v>
      </c>
      <c r="B21" s="176"/>
      <c r="C21" s="139" t="s">
        <v>81</v>
      </c>
      <c r="D21" s="63">
        <f>サイズ毎!D14</f>
        <v>9.5820000000000007</v>
      </c>
      <c r="E21" s="64"/>
      <c r="F21" s="64"/>
      <c r="G21" s="64"/>
      <c r="H21" s="142" t="s">
        <v>77</v>
      </c>
    </row>
    <row r="22" spans="1:8" ht="15.75" customHeight="1">
      <c r="A22" s="175" t="s">
        <v>40</v>
      </c>
      <c r="B22" s="176"/>
      <c r="C22" s="139" t="s">
        <v>71</v>
      </c>
      <c r="D22" s="63">
        <f>サイズ毎!D10</f>
        <v>34.71</v>
      </c>
      <c r="E22" s="64"/>
      <c r="F22" s="64"/>
      <c r="G22" s="64"/>
      <c r="H22" s="143" t="s">
        <v>98</v>
      </c>
    </row>
    <row r="23" spans="1:8" ht="15.75" customHeight="1">
      <c r="A23" s="175" t="s">
        <v>44</v>
      </c>
      <c r="B23" s="176"/>
      <c r="C23" s="139" t="s">
        <v>73</v>
      </c>
      <c r="D23" s="63">
        <f>サイズ毎!D11</f>
        <v>6.7</v>
      </c>
      <c r="E23" s="64"/>
      <c r="F23" s="64"/>
      <c r="G23" s="64"/>
      <c r="H23" s="143" t="s">
        <v>98</v>
      </c>
    </row>
    <row r="24" spans="1:8" ht="15.75" customHeight="1" thickBot="1">
      <c r="A24" s="177" t="s">
        <v>46</v>
      </c>
      <c r="B24" s="178"/>
      <c r="C24" s="140" t="s">
        <v>75</v>
      </c>
      <c r="D24" s="70">
        <f>D21</f>
        <v>9.5820000000000007</v>
      </c>
      <c r="E24" s="71" t="s">
        <v>76</v>
      </c>
      <c r="F24" s="72">
        <f>ROUND(1/サイズ毎!D13,2)</f>
        <v>0.63</v>
      </c>
      <c r="G24" s="73"/>
      <c r="H24" s="144" t="s">
        <v>77</v>
      </c>
    </row>
    <row r="25" spans="1:8" ht="14.25" customHeight="1"/>
    <row r="26" spans="1:8" ht="14.25" customHeight="1">
      <c r="A26" s="145" t="s">
        <v>99</v>
      </c>
      <c r="B26" s="145"/>
      <c r="C26" s="146" t="s">
        <v>100</v>
      </c>
      <c r="D26" s="145"/>
      <c r="E26" s="145"/>
      <c r="F26" s="145"/>
      <c r="G26" s="29"/>
      <c r="H26" s="147" t="s">
        <v>101</v>
      </c>
    </row>
    <row r="27" spans="1:8" ht="14.25" customHeight="1"/>
    <row r="28" spans="1:8" s="136" customFormat="1" ht="14.25">
      <c r="A28" s="133" t="s">
        <v>90</v>
      </c>
      <c r="B28" s="134">
        <v>0</v>
      </c>
      <c r="C28" s="135">
        <v>1</v>
      </c>
      <c r="D28" s="135">
        <v>3</v>
      </c>
      <c r="E28" s="135">
        <v>5</v>
      </c>
      <c r="F28" s="135">
        <v>10</v>
      </c>
      <c r="G28" s="135">
        <v>30</v>
      </c>
      <c r="H28" s="135">
        <v>50</v>
      </c>
    </row>
    <row r="29" spans="1:8" s="136" customFormat="1" ht="14.25">
      <c r="A29" s="133" t="s">
        <v>91</v>
      </c>
      <c r="B29" s="137">
        <f>$D$21*(B28/9.8)^($F$24)</f>
        <v>0</v>
      </c>
      <c r="C29" s="137">
        <f t="shared" ref="C29:H29" si="0">$D$21*(C28/9.8)^($F$24)</f>
        <v>2.275012246544069</v>
      </c>
      <c r="D29" s="137">
        <f t="shared" si="0"/>
        <v>4.5453792947858656</v>
      </c>
      <c r="E29" s="137">
        <f t="shared" si="0"/>
        <v>6.2709717100609552</v>
      </c>
      <c r="F29" s="137">
        <f t="shared" si="0"/>
        <v>9.7047362939849915</v>
      </c>
      <c r="G29" s="137">
        <f t="shared" si="0"/>
        <v>19.389657123404774</v>
      </c>
      <c r="H29" s="137">
        <f t="shared" si="0"/>
        <v>26.750680944962028</v>
      </c>
    </row>
    <row r="31" spans="1:8" hidden="1">
      <c r="A31" s="74" t="s">
        <v>102</v>
      </c>
    </row>
    <row r="32" spans="1:8" hidden="1">
      <c r="A32" s="74" t="s">
        <v>103</v>
      </c>
    </row>
  </sheetData>
  <sheetProtection algorithmName="SHA-512" hashValue="ltsmXrAFR8743qCx+U1+A5lMpK/8JYqQJBbwMBiweqD7+YE0bo06806DvEv7VcffwtIViR7lyYQCmxgf7Lp04Q==" saltValue="eWp8JjNX137hH+CJwVMlaQ==" spinCount="100000" sheet="1" objects="1" scenarios="1" selectLockedCells="1"/>
  <mergeCells count="11">
    <mergeCell ref="A21:B21"/>
    <mergeCell ref="A22:B22"/>
    <mergeCell ref="A23:B23"/>
    <mergeCell ref="A24:B24"/>
    <mergeCell ref="F1:H1"/>
    <mergeCell ref="A1:E1"/>
    <mergeCell ref="A18:H18"/>
    <mergeCell ref="A15:H15"/>
    <mergeCell ref="A16:H16"/>
    <mergeCell ref="A2:E14"/>
    <mergeCell ref="A20:B20"/>
  </mergeCells>
  <phoneticPr fontId="1"/>
  <dataValidations count="1">
    <dataValidation type="decimal" allowBlank="1" showInputMessage="1" showErrorMessage="1" error="製作範囲外です。" sqref="C20" xr:uid="{00000000-0002-0000-0300-000000000000}">
      <formula1>225</formula1>
      <formula2>894</formula2>
    </dataValidation>
  </dataValidations>
  <pageMargins left="0.78740157480314965" right="0.59055118110236227" top="0.59055118110236227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佐原ブレス工業株式会社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WS12</dc:creator>
  <cp:keywords/>
  <dc:description/>
  <cp:lastModifiedBy>小野寺 絵理子</cp:lastModifiedBy>
  <cp:revision/>
  <dcterms:created xsi:type="dcterms:W3CDTF">1999-11-18T07:30:21Z</dcterms:created>
  <dcterms:modified xsi:type="dcterms:W3CDTF">2022-11-24T07:22:36Z</dcterms:modified>
  <cp:category/>
  <cp:contentStatus/>
</cp:coreProperties>
</file>